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066\Desktop\個人フォルダ\国保税試算表\"/>
    </mc:Choice>
  </mc:AlternateContent>
  <xr:revisionPtr revIDLastSave="0" documentId="13_ncr:1_{74E39562-FE62-4F72-ADDF-5938D50DB5F0}" xr6:coauthVersionLast="47" xr6:coauthVersionMax="47" xr10:uidLastSave="{00000000-0000-0000-0000-000000000000}"/>
  <bookViews>
    <workbookView xWindow="-120" yWindow="-120" windowWidth="29040" windowHeight="15720" xr2:uid="{FDFAD6D6-ECD3-4321-8632-64E529F72C2F}"/>
  </bookViews>
  <sheets>
    <sheet name="令和７年度" sheetId="1" r:id="rId1"/>
    <sheet name="給与収入" sheetId="2" r:id="rId2"/>
    <sheet name="年金収入" sheetId="3" r:id="rId3"/>
    <sheet name="早読表" sheetId="4" r:id="rId4"/>
  </sheets>
  <definedNames>
    <definedName name="_xlnm.Print_Area" localSheetId="1">給与収入!$A$1:$I$25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31" i="4" l="1"/>
  <c r="D31" i="4"/>
  <c r="C31" i="4"/>
  <c r="F31" i="4" s="1"/>
  <c r="F30" i="4"/>
  <c r="E30" i="4"/>
  <c r="D30" i="4"/>
  <c r="G30" i="4" s="1"/>
  <c r="C30" i="4"/>
  <c r="F29" i="4"/>
  <c r="C29" i="4"/>
  <c r="E29" i="4" s="1"/>
  <c r="C28" i="4"/>
  <c r="F28" i="4" s="1"/>
  <c r="E27" i="4"/>
  <c r="D27" i="4"/>
  <c r="C27" i="4"/>
  <c r="F27" i="4" s="1"/>
  <c r="L26" i="4"/>
  <c r="K26" i="4"/>
  <c r="F26" i="4"/>
  <c r="E26" i="4"/>
  <c r="D26" i="4"/>
  <c r="G26" i="4" s="1"/>
  <c r="C26" i="4"/>
  <c r="F25" i="4"/>
  <c r="C25" i="4"/>
  <c r="E25" i="4" s="1"/>
  <c r="C24" i="4"/>
  <c r="F24" i="4" s="1"/>
  <c r="L23" i="4"/>
  <c r="L24" i="4" s="1"/>
  <c r="K23" i="4"/>
  <c r="K25" i="4" s="1"/>
  <c r="J23" i="4"/>
  <c r="J26" i="4" s="1"/>
  <c r="E23" i="4"/>
  <c r="D23" i="4"/>
  <c r="C23" i="4"/>
  <c r="F23" i="4" s="1"/>
  <c r="F22" i="4"/>
  <c r="E22" i="4"/>
  <c r="D22" i="4"/>
  <c r="C22" i="4"/>
  <c r="F21" i="4"/>
  <c r="C21" i="4"/>
  <c r="E21" i="4" s="1"/>
  <c r="C20" i="4"/>
  <c r="F20" i="4" s="1"/>
  <c r="E19" i="4"/>
  <c r="D19" i="4"/>
  <c r="C19" i="4"/>
  <c r="F19" i="4" s="1"/>
  <c r="J18" i="4"/>
  <c r="F18" i="4"/>
  <c r="E18" i="4"/>
  <c r="D18" i="4"/>
  <c r="C18" i="4"/>
  <c r="F17" i="4"/>
  <c r="C17" i="4"/>
  <c r="E17" i="4" s="1"/>
  <c r="J16" i="4"/>
  <c r="C16" i="4"/>
  <c r="F16" i="4" s="1"/>
  <c r="L15" i="4"/>
  <c r="K15" i="4"/>
  <c r="J15" i="4"/>
  <c r="E15" i="4"/>
  <c r="D15" i="4"/>
  <c r="C15" i="4"/>
  <c r="F15" i="4" s="1"/>
  <c r="L14" i="4"/>
  <c r="K14" i="4"/>
  <c r="J14" i="4"/>
  <c r="F14" i="4"/>
  <c r="E14" i="4"/>
  <c r="D14" i="4"/>
  <c r="G14" i="4" s="1"/>
  <c r="C14" i="4"/>
  <c r="L13" i="4"/>
  <c r="K13" i="4"/>
  <c r="J13" i="4"/>
  <c r="F13" i="4"/>
  <c r="G13" i="4" s="1"/>
  <c r="E13" i="4"/>
  <c r="D13" i="4"/>
  <c r="L12" i="4"/>
  <c r="L16" i="4" s="1"/>
  <c r="K12" i="4"/>
  <c r="K17" i="4" s="1"/>
  <c r="J12" i="4"/>
  <c r="J17" i="4" s="1"/>
  <c r="F12" i="4"/>
  <c r="E12" i="4"/>
  <c r="D12" i="4"/>
  <c r="L23" i="3"/>
  <c r="I23" i="3"/>
  <c r="F23" i="3"/>
  <c r="L22" i="3"/>
  <c r="I22" i="3"/>
  <c r="F22" i="3"/>
  <c r="L21" i="3"/>
  <c r="I21" i="3"/>
  <c r="F21" i="3"/>
  <c r="L20" i="3"/>
  <c r="I20" i="3"/>
  <c r="F20" i="3"/>
  <c r="L19" i="3"/>
  <c r="I19" i="3"/>
  <c r="F19" i="3"/>
  <c r="L14" i="3"/>
  <c r="I14" i="3"/>
  <c r="F14" i="3"/>
  <c r="L13" i="3"/>
  <c r="I13" i="3"/>
  <c r="F13" i="3"/>
  <c r="L12" i="3"/>
  <c r="I12" i="3"/>
  <c r="F12" i="3"/>
  <c r="F5" i="3" s="1"/>
  <c r="L11" i="3"/>
  <c r="I11" i="3"/>
  <c r="F11" i="3"/>
  <c r="L10" i="3"/>
  <c r="I10" i="3"/>
  <c r="F10" i="3"/>
  <c r="F24" i="2"/>
  <c r="F23" i="2"/>
  <c r="F22" i="2"/>
  <c r="F21" i="2"/>
  <c r="F20" i="2"/>
  <c r="F19" i="2"/>
  <c r="F18" i="2"/>
  <c r="F17" i="2"/>
  <c r="F16" i="2"/>
  <c r="F15" i="2"/>
  <c r="F14" i="2"/>
  <c r="H11" i="2"/>
  <c r="F3" i="2" s="1"/>
  <c r="F10" i="2"/>
  <c r="C35" i="1"/>
  <c r="E39" i="1" s="1"/>
  <c r="D33" i="1"/>
  <c r="D34" i="1" s="1"/>
  <c r="C33" i="1"/>
  <c r="C40" i="1" s="1"/>
  <c r="M18" i="1"/>
  <c r="G18" i="1"/>
  <c r="G23" i="1" s="1"/>
  <c r="E18" i="1"/>
  <c r="C15" i="1"/>
  <c r="M12" i="1"/>
  <c r="L12" i="1"/>
  <c r="K12" i="1"/>
  <c r="J12" i="1"/>
  <c r="H12" i="1"/>
  <c r="I12" i="1" s="1"/>
  <c r="M11" i="1"/>
  <c r="L11" i="1"/>
  <c r="K11" i="1"/>
  <c r="J11" i="1"/>
  <c r="H11" i="1"/>
  <c r="I11" i="1" s="1"/>
  <c r="M10" i="1"/>
  <c r="L10" i="1"/>
  <c r="K10" i="1"/>
  <c r="J10" i="1"/>
  <c r="H10" i="1"/>
  <c r="I10" i="1" s="1"/>
  <c r="M9" i="1"/>
  <c r="L9" i="1"/>
  <c r="K9" i="1"/>
  <c r="J9" i="1"/>
  <c r="H9" i="1"/>
  <c r="I9" i="1" s="1"/>
  <c r="M8" i="1"/>
  <c r="L8" i="1"/>
  <c r="K8" i="1"/>
  <c r="J8" i="1"/>
  <c r="H8" i="1"/>
  <c r="I8" i="1" s="1"/>
  <c r="M7" i="1"/>
  <c r="L7" i="1"/>
  <c r="K7" i="1"/>
  <c r="J7" i="1"/>
  <c r="H7" i="1"/>
  <c r="I7" i="1" s="1"/>
  <c r="M6" i="1"/>
  <c r="L6" i="1"/>
  <c r="K6" i="1"/>
  <c r="J6" i="1"/>
  <c r="H6" i="1"/>
  <c r="I6" i="1" s="1"/>
  <c r="M5" i="1"/>
  <c r="L5" i="1"/>
  <c r="J5" i="1"/>
  <c r="H5" i="1"/>
  <c r="I5" i="1" s="1"/>
  <c r="K5" i="1" s="1"/>
  <c r="C34" i="1" l="1"/>
  <c r="D39" i="1" s="1"/>
  <c r="E35" i="1"/>
  <c r="E38" i="1" s="1"/>
  <c r="M19" i="1"/>
  <c r="C22" i="1" s="1"/>
  <c r="C23" i="1" s="1"/>
  <c r="C39" i="1"/>
  <c r="E33" i="1"/>
  <c r="E34" i="1" s="1"/>
  <c r="D38" i="1" s="1"/>
  <c r="M15" i="4"/>
  <c r="L25" i="4"/>
  <c r="M26" i="4"/>
  <c r="M14" i="4"/>
  <c r="K18" i="4"/>
  <c r="M13" i="4"/>
  <c r="G18" i="4"/>
  <c r="G22" i="4"/>
  <c r="G23" i="4"/>
  <c r="G12" i="4"/>
  <c r="G27" i="4"/>
  <c r="G15" i="4"/>
  <c r="G19" i="4"/>
  <c r="G31" i="4"/>
  <c r="E16" i="4"/>
  <c r="K16" i="4"/>
  <c r="M16" i="4" s="1"/>
  <c r="D17" i="4"/>
  <c r="G17" i="4" s="1"/>
  <c r="E20" i="4"/>
  <c r="D21" i="4"/>
  <c r="G21" i="4" s="1"/>
  <c r="E24" i="4"/>
  <c r="K24" i="4"/>
  <c r="D25" i="4"/>
  <c r="G25" i="4" s="1"/>
  <c r="J25" i="4"/>
  <c r="E28" i="4"/>
  <c r="D29" i="4"/>
  <c r="G29" i="4" s="1"/>
  <c r="L17" i="4"/>
  <c r="M17" i="4" s="1"/>
  <c r="M12" i="4"/>
  <c r="D16" i="4"/>
  <c r="L18" i="4"/>
  <c r="M18" i="4" s="1"/>
  <c r="D20" i="4"/>
  <c r="G20" i="4" s="1"/>
  <c r="D24" i="4"/>
  <c r="J24" i="4"/>
  <c r="D28" i="4"/>
  <c r="G28" i="4" s="1"/>
  <c r="M23" i="4"/>
  <c r="E40" i="1"/>
  <c r="D40" i="1" l="1"/>
  <c r="D44" i="1" s="1"/>
  <c r="E44" i="1"/>
  <c r="C43" i="1"/>
  <c r="E43" i="1"/>
  <c r="C42" i="1"/>
  <c r="D42" i="1"/>
  <c r="D43" i="1"/>
  <c r="D41" i="1"/>
  <c r="C41" i="1"/>
  <c r="E41" i="1"/>
  <c r="C38" i="1"/>
  <c r="C44" i="1" s="1"/>
  <c r="M25" i="4"/>
  <c r="G16" i="4"/>
  <c r="M24" i="4"/>
  <c r="G24" i="4"/>
  <c r="E45" i="1" l="1"/>
  <c r="D45" i="1"/>
  <c r="C45" i="1"/>
  <c r="F52" i="1" l="1"/>
  <c r="F47" i="1"/>
  <c r="F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759D9A54-66E5-4F58-875C-874A1B2EC44A}">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FE205932-86B7-4B43-AE96-D63BB318274E}">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703493C3-5E40-425C-91DC-36BC1DE87A7E}">
      <text>
        <r>
          <rPr>
            <b/>
            <sz val="16"/>
            <color indexed="81"/>
            <rFont val="ＭＳ Ｐゴシック"/>
            <family val="3"/>
            <charset val="128"/>
          </rPr>
          <t>ここに収入金額を入力してください</t>
        </r>
      </text>
    </comment>
    <comment ref="F3" authorId="0" shapeId="0" xr:uid="{EC8DF34E-F344-45E7-9A91-D0B2F5D14873}">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<sst xmlns="http://schemas.openxmlformats.org/spreadsheetml/2006/main" count="275" uniqueCount="134">
  <si>
    <t>Q1</t>
    <phoneticPr fontId="7"/>
  </si>
  <si>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7"/>
  </si>
  <si>
    <t>氏名</t>
    <rPh sb="0" eb="2">
      <t>シメイ</t>
    </rPh>
    <phoneticPr fontId="7"/>
  </si>
  <si>
    <t>年齢</t>
    <rPh sb="0" eb="2">
      <t>ネンレイ</t>
    </rPh>
    <phoneticPr fontId="7"/>
  </si>
  <si>
    <t>給与所得</t>
    <rPh sb="0" eb="2">
      <t>キュウヨ</t>
    </rPh>
    <rPh sb="2" eb="4">
      <t>ショトク</t>
    </rPh>
    <phoneticPr fontId="7"/>
  </si>
  <si>
    <t>年金所得</t>
    <rPh sb="0" eb="2">
      <t>ネンキン</t>
    </rPh>
    <rPh sb="2" eb="4">
      <t>ショトク</t>
    </rPh>
    <phoneticPr fontId="7"/>
  </si>
  <si>
    <t>その他所得金額</t>
    <rPh sb="2" eb="3">
      <t>タ</t>
    </rPh>
    <rPh sb="3" eb="5">
      <t>ショトク</t>
    </rPh>
    <rPh sb="5" eb="6">
      <t>キン</t>
    </rPh>
    <rPh sb="6" eb="7">
      <t>ガク</t>
    </rPh>
    <phoneticPr fontId="4"/>
  </si>
  <si>
    <t>調整控除</t>
    <rPh sb="0" eb="2">
      <t>チョウセイ</t>
    </rPh>
    <rPh sb="2" eb="4">
      <t>コウジョ</t>
    </rPh>
    <phoneticPr fontId="4"/>
  </si>
  <si>
    <t>合計所得金額</t>
    <rPh sb="0" eb="2">
      <t>ゴウケイ</t>
    </rPh>
    <rPh sb="2" eb="4">
      <t>ショトク</t>
    </rPh>
    <rPh sb="4" eb="6">
      <t>キンガク</t>
    </rPh>
    <phoneticPr fontId="4"/>
  </si>
  <si>
    <t>基準総所得</t>
    <rPh sb="0" eb="2">
      <t>キジュン</t>
    </rPh>
    <rPh sb="2" eb="5">
      <t>ソウショトク</t>
    </rPh>
    <phoneticPr fontId="7"/>
  </si>
  <si>
    <t>介護該当</t>
    <rPh sb="0" eb="2">
      <t>カイゴ</t>
    </rPh>
    <rPh sb="2" eb="4">
      <t>ガイトウ</t>
    </rPh>
    <phoneticPr fontId="7"/>
  </si>
  <si>
    <t>年金控除額</t>
    <rPh sb="0" eb="2">
      <t>ネンキン</t>
    </rPh>
    <rPh sb="2" eb="4">
      <t>コウジョ</t>
    </rPh>
    <rPh sb="4" eb="5">
      <t>ガク</t>
    </rPh>
    <phoneticPr fontId="4"/>
  </si>
  <si>
    <t>Q2</t>
    <phoneticPr fontId="7"/>
  </si>
  <si>
    <t>世帯主が国民健康保険に加入しますか？（１＝はい、2＝いいえ）</t>
    <rPh sb="0" eb="3">
      <t>セタイヌシ</t>
    </rPh>
    <rPh sb="4" eb="10">
      <t>コクホ</t>
    </rPh>
    <rPh sb="11" eb="13">
      <t>カニュウ</t>
    </rPh>
    <phoneticPr fontId="7"/>
  </si>
  <si>
    <t>Q3</t>
    <phoneticPr fontId="7"/>
  </si>
  <si>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7"/>
  </si>
  <si>
    <t>所得金額</t>
    <rPh sb="0" eb="2">
      <t>ショトク</t>
    </rPh>
    <rPh sb="2" eb="4">
      <t>キンガク</t>
    </rPh>
    <phoneticPr fontId="7"/>
  </si>
  <si>
    <t>【算定結果】</t>
    <rPh sb="1" eb="3">
      <t>サンテイ</t>
    </rPh>
    <rPh sb="3" eb="5">
      <t>ケッカ</t>
    </rPh>
    <phoneticPr fontId="7"/>
  </si>
  <si>
    <t>軽減基準所得</t>
    <rPh sb="0" eb="2">
      <t>ケイゲン</t>
    </rPh>
    <rPh sb="2" eb="4">
      <t>キジュン</t>
    </rPh>
    <rPh sb="4" eb="6">
      <t>ショトク</t>
    </rPh>
    <phoneticPr fontId="7"/>
  </si>
  <si>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7"/>
  </si>
  <si>
    <t>軽減判定</t>
    <rPh sb="0" eb="2">
      <t>ケイゲン</t>
    </rPh>
    <rPh sb="2" eb="4">
      <t>ハンテイ</t>
    </rPh>
    <phoneticPr fontId="7"/>
  </si>
  <si>
    <t>人数</t>
    <rPh sb="0" eb="2">
      <t>ニンズウ</t>
    </rPh>
    <phoneticPr fontId="7"/>
  </si>
  <si>
    <t>軽減割合</t>
    <rPh sb="0" eb="2">
      <t>ケイゲン</t>
    </rPh>
    <rPh sb="2" eb="4">
      <t>ワリアイ</t>
    </rPh>
    <phoneticPr fontId="7"/>
  </si>
  <si>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7"/>
  </si>
  <si>
    <t>７割軽減</t>
    <rPh sb="1" eb="2">
      <t>ワ</t>
    </rPh>
    <rPh sb="2" eb="4">
      <t>ケイゲン</t>
    </rPh>
    <phoneticPr fontId="7"/>
  </si>
  <si>
    <t>５割軽減</t>
    <rPh sb="1" eb="2">
      <t>ワリ</t>
    </rPh>
    <rPh sb="2" eb="4">
      <t>ケイゲン</t>
    </rPh>
    <phoneticPr fontId="7"/>
  </si>
  <si>
    <t>２割軽減</t>
    <rPh sb="1" eb="2">
      <t>ワリ</t>
    </rPh>
    <rPh sb="2" eb="4">
      <t>ケイゲン</t>
    </rPh>
    <phoneticPr fontId="7"/>
  </si>
  <si>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7"/>
  </si>
  <si>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7"/>
  </si>
  <si>
    <t>被保険者数</t>
    <rPh sb="0" eb="4">
      <t>ヒホケンシャ</t>
    </rPh>
    <rPh sb="4" eb="5">
      <t>スウ</t>
    </rPh>
    <phoneticPr fontId="7"/>
  </si>
  <si>
    <t>うち未就学児</t>
    <rPh sb="2" eb="6">
      <t>ミシュウガクジ</t>
    </rPh>
    <phoneticPr fontId="4"/>
  </si>
  <si>
    <t>課税対象所得</t>
    <rPh sb="0" eb="2">
      <t>カゼイ</t>
    </rPh>
    <rPh sb="2" eb="4">
      <t>タイショウ</t>
    </rPh>
    <rPh sb="4" eb="6">
      <t>ショトク</t>
    </rPh>
    <phoneticPr fontId="7"/>
  </si>
  <si>
    <t>医療分</t>
    <rPh sb="0" eb="2">
      <t>イリョウ</t>
    </rPh>
    <rPh sb="2" eb="3">
      <t>ブン</t>
    </rPh>
    <phoneticPr fontId="7"/>
  </si>
  <si>
    <t>後期分</t>
    <rPh sb="0" eb="2">
      <t>コウキ</t>
    </rPh>
    <rPh sb="2" eb="3">
      <t>ブン</t>
    </rPh>
    <phoneticPr fontId="7"/>
  </si>
  <si>
    <t>介護分</t>
    <rPh sb="0" eb="2">
      <t>カイゴ</t>
    </rPh>
    <rPh sb="2" eb="3">
      <t>ブン</t>
    </rPh>
    <phoneticPr fontId="7"/>
  </si>
  <si>
    <t>税率</t>
    <rPh sb="0" eb="2">
      <t>ゼイリツ</t>
    </rPh>
    <phoneticPr fontId="7"/>
  </si>
  <si>
    <t>区分</t>
    <rPh sb="0" eb="2">
      <t>クブン</t>
    </rPh>
    <phoneticPr fontId="7"/>
  </si>
  <si>
    <t>所得割</t>
    <rPh sb="0" eb="2">
      <t>ショトク</t>
    </rPh>
    <rPh sb="2" eb="3">
      <t>ワリ</t>
    </rPh>
    <phoneticPr fontId="7"/>
  </si>
  <si>
    <t>均等割</t>
    <rPh sb="0" eb="3">
      <t>キントウワ</t>
    </rPh>
    <phoneticPr fontId="7"/>
  </si>
  <si>
    <t>平等割</t>
    <rPh sb="0" eb="2">
      <t>ビョウドウ</t>
    </rPh>
    <rPh sb="2" eb="3">
      <t>ワリ</t>
    </rPh>
    <phoneticPr fontId="7"/>
  </si>
  <si>
    <t>均等割軽減額</t>
    <rPh sb="0" eb="3">
      <t>キントウワ</t>
    </rPh>
    <rPh sb="3" eb="5">
      <t>ケイゲン</t>
    </rPh>
    <rPh sb="5" eb="6">
      <t>ガク</t>
    </rPh>
    <phoneticPr fontId="7"/>
  </si>
  <si>
    <t>こども均等割軽減</t>
    <rPh sb="3" eb="6">
      <t>キントウワ</t>
    </rPh>
    <rPh sb="6" eb="8">
      <t>ケイゲン</t>
    </rPh>
    <phoneticPr fontId="4"/>
  </si>
  <si>
    <t>平等割軽減額</t>
    <rPh sb="0" eb="2">
      <t>ビョウドウ</t>
    </rPh>
    <rPh sb="2" eb="3">
      <t>ワリ</t>
    </rPh>
    <rPh sb="3" eb="5">
      <t>ケイゲン</t>
    </rPh>
    <rPh sb="5" eb="6">
      <t>ガク</t>
    </rPh>
    <phoneticPr fontId="7"/>
  </si>
  <si>
    <t>課税限度額</t>
    <rPh sb="0" eb="2">
      <t>カゼイ</t>
    </rPh>
    <rPh sb="2" eb="4">
      <t>ゲンド</t>
    </rPh>
    <rPh sb="4" eb="5">
      <t>ガク</t>
    </rPh>
    <phoneticPr fontId="7"/>
  </si>
  <si>
    <t>限度超過額</t>
    <rPh sb="0" eb="2">
      <t>ゲンド</t>
    </rPh>
    <rPh sb="2" eb="5">
      <t>チョウカガク</t>
    </rPh>
    <phoneticPr fontId="7"/>
  </si>
  <si>
    <t>算定額</t>
    <rPh sb="0" eb="2">
      <t>サンテイ</t>
    </rPh>
    <rPh sb="2" eb="3">
      <t>ガク</t>
    </rPh>
    <phoneticPr fontId="7"/>
  </si>
  <si>
    <t>あなたの世帯の１年間の保険税額は</t>
    <rPh sb="14" eb="15">
      <t>ガク</t>
    </rPh>
    <phoneticPr fontId="7"/>
  </si>
  <si>
    <t>円です。</t>
    <rPh sb="0" eb="1">
      <t>エン</t>
    </rPh>
    <phoneticPr fontId="7"/>
  </si>
  <si>
    <t>1ヶ月あたりの保険税額は、約</t>
    <phoneticPr fontId="7"/>
  </si>
  <si>
    <t>年度の途中で加入する場合は、加入する月から３月までの月数を乗じてください。</t>
    <rPh sb="0" eb="2">
      <t>ネンド</t>
    </rPh>
    <rPh sb="3" eb="5">
      <t>トチュウ</t>
    </rPh>
    <rPh sb="6" eb="8">
      <t>カニュウ</t>
    </rPh>
    <rPh sb="10" eb="12">
      <t>バアイ</t>
    </rPh>
    <rPh sb="14" eb="16">
      <t>カニュウ</t>
    </rPh>
    <rPh sb="18" eb="19">
      <t>ツキ</t>
    </rPh>
    <rPh sb="22" eb="23">
      <t>ガツ</t>
    </rPh>
    <rPh sb="26" eb="28">
      <t>ゲッスウ</t>
    </rPh>
    <rPh sb="29" eb="30">
      <t>ジョウ</t>
    </rPh>
    <phoneticPr fontId="4"/>
  </si>
  <si>
    <t>1期あたりの保険税額は、約</t>
    <rPh sb="1" eb="2">
      <t>キ</t>
    </rPh>
    <phoneticPr fontId="7"/>
  </si>
  <si>
    <t>あくまで試算ですので、加入後の決定通知書で金額をご確認ください。</t>
    <rPh sb="4" eb="6">
      <t>シサン</t>
    </rPh>
    <rPh sb="11" eb="14">
      <t>カニュウゴ</t>
    </rPh>
    <rPh sb="15" eb="17">
      <t>ケッテイ</t>
    </rPh>
    <rPh sb="17" eb="20">
      <t>ツウチショ</t>
    </rPh>
    <rPh sb="21" eb="23">
      <t>キンガク</t>
    </rPh>
    <rPh sb="25" eb="27">
      <t>カクニン</t>
    </rPh>
    <phoneticPr fontId="4"/>
  </si>
  <si>
    <t>給与等の収入金額</t>
    <rPh sb="0" eb="2">
      <t>キュウヨ</t>
    </rPh>
    <rPh sb="2" eb="3">
      <t>トウ</t>
    </rPh>
    <rPh sb="4" eb="6">
      <t>シュウニュウ</t>
    </rPh>
    <rPh sb="6" eb="8">
      <t>キンガク</t>
    </rPh>
    <phoneticPr fontId="4"/>
  </si>
  <si>
    <t>円</t>
    <rPh sb="0" eb="1">
      <t>エン</t>
    </rPh>
    <phoneticPr fontId="4"/>
  </si>
  <si>
    <t>①</t>
    <phoneticPr fontId="4"/>
  </si>
  <si>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4"/>
  </si>
  <si>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4"/>
  </si>
  <si>
    <t>自分が特別障害者に該当する</t>
    <rPh sb="0" eb="2">
      <t>ジブン</t>
    </rPh>
    <rPh sb="3" eb="5">
      <t>トクベツ</t>
    </rPh>
    <rPh sb="5" eb="8">
      <t>ショウガイシャ</t>
    </rPh>
    <rPh sb="9" eb="11">
      <t>ガイトウ</t>
    </rPh>
    <phoneticPr fontId="4"/>
  </si>
  <si>
    <t>非該当</t>
    <phoneticPr fontId="4"/>
  </si>
  <si>
    <t>（給与等の収入金額－850万円）×0.1</t>
    <rPh sb="1" eb="3">
      <t>キュウヨ</t>
    </rPh>
    <rPh sb="3" eb="4">
      <t>トウ</t>
    </rPh>
    <rPh sb="5" eb="7">
      <t>シュウニュウ</t>
    </rPh>
    <rPh sb="7" eb="9">
      <t>キンガク</t>
    </rPh>
    <rPh sb="13" eb="15">
      <t>マンエン</t>
    </rPh>
    <phoneticPr fontId="4"/>
  </si>
  <si>
    <t>22歳以下の扶養親族を有する</t>
    <rPh sb="2" eb="3">
      <t>サイ</t>
    </rPh>
    <rPh sb="3" eb="5">
      <t>イカ</t>
    </rPh>
    <rPh sb="6" eb="8">
      <t>フヨウ</t>
    </rPh>
    <rPh sb="8" eb="10">
      <t>シンゾク</t>
    </rPh>
    <rPh sb="11" eb="12">
      <t>ユウ</t>
    </rPh>
    <phoneticPr fontId="4"/>
  </si>
  <si>
    <t>なし</t>
    <phoneticPr fontId="4"/>
  </si>
  <si>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4"/>
  </si>
  <si>
    <t>特別障害者である扶養親族を有する</t>
    <rPh sb="0" eb="2">
      <t>トクベツ</t>
    </rPh>
    <rPh sb="2" eb="5">
      <t>ショウガイシャ</t>
    </rPh>
    <rPh sb="8" eb="10">
      <t>フヨウ</t>
    </rPh>
    <rPh sb="10" eb="12">
      <t>シンゾク</t>
    </rPh>
    <rPh sb="13" eb="14">
      <t>ユウ</t>
    </rPh>
    <phoneticPr fontId="4"/>
  </si>
  <si>
    <t>所得金額調整控除</t>
    <rPh sb="0" eb="2">
      <t>ショトク</t>
    </rPh>
    <rPh sb="2" eb="4">
      <t>キンガク</t>
    </rPh>
    <rPh sb="4" eb="6">
      <t>チョウセイ</t>
    </rPh>
    <rPh sb="6" eb="8">
      <t>コウジョ</t>
    </rPh>
    <phoneticPr fontId="4"/>
  </si>
  <si>
    <t>所得額</t>
    <rPh sb="0" eb="2">
      <t>ショトク</t>
    </rPh>
    <rPh sb="2" eb="3">
      <t>ガク</t>
    </rPh>
    <phoneticPr fontId="4"/>
  </si>
  <si>
    <t>①　の　金　額</t>
    <rPh sb="4" eb="5">
      <t>キン</t>
    </rPh>
    <rPh sb="6" eb="7">
      <t>ガク</t>
    </rPh>
    <phoneticPr fontId="4"/>
  </si>
  <si>
    <t>給与所得の金額</t>
    <rPh sb="0" eb="2">
      <t>キュウヨ</t>
    </rPh>
    <rPh sb="2" eb="4">
      <t>ショトク</t>
    </rPh>
    <rPh sb="5" eb="7">
      <t>キンガク</t>
    </rPh>
    <phoneticPr fontId="4"/>
  </si>
  <si>
    <t>算出方法</t>
    <rPh sb="0" eb="2">
      <t>サンシュツ</t>
    </rPh>
    <rPh sb="2" eb="4">
      <t>ホウホウ</t>
    </rPh>
    <phoneticPr fontId="4"/>
  </si>
  <si>
    <t>～</t>
    <phoneticPr fontId="4"/>
  </si>
  <si>
    <t>0円</t>
    <rPh sb="1" eb="2">
      <t>エン</t>
    </rPh>
    <phoneticPr fontId="4"/>
  </si>
  <si>
    <t>①－550,000円</t>
    <rPh sb="9" eb="10">
      <t>エン</t>
    </rPh>
    <phoneticPr fontId="4"/>
  </si>
  <si>
    <t>1,069,000円</t>
    <rPh sb="9" eb="10">
      <t>エン</t>
    </rPh>
    <phoneticPr fontId="4"/>
  </si>
  <si>
    <t>1,070,000円</t>
    <rPh sb="9" eb="10">
      <t>エン</t>
    </rPh>
    <phoneticPr fontId="4"/>
  </si>
  <si>
    <t>1,072,000円</t>
    <rPh sb="9" eb="10">
      <t>エン</t>
    </rPh>
    <phoneticPr fontId="4"/>
  </si>
  <si>
    <t>1,074,000円</t>
    <rPh sb="9" eb="10">
      <t>エン</t>
    </rPh>
    <phoneticPr fontId="4"/>
  </si>
  <si>
    <t>①÷4（千円未満の端数切捨て）×2.4＋100,000円</t>
    <rPh sb="4" eb="6">
      <t>センエン</t>
    </rPh>
    <rPh sb="6" eb="8">
      <t>ミマン</t>
    </rPh>
    <rPh sb="9" eb="11">
      <t>ハスウ</t>
    </rPh>
    <rPh sb="11" eb="13">
      <t>キリス</t>
    </rPh>
    <rPh sb="27" eb="28">
      <t>エン</t>
    </rPh>
    <phoneticPr fontId="4"/>
  </si>
  <si>
    <t>①÷4（千円未満の端数切捨て）×2.8－80,000円</t>
    <rPh sb="4" eb="6">
      <t>センエン</t>
    </rPh>
    <rPh sb="6" eb="8">
      <t>ミマン</t>
    </rPh>
    <rPh sb="9" eb="11">
      <t>ハスウ</t>
    </rPh>
    <rPh sb="11" eb="13">
      <t>キリス</t>
    </rPh>
    <rPh sb="26" eb="27">
      <t>エン</t>
    </rPh>
    <phoneticPr fontId="4"/>
  </si>
  <si>
    <t>①÷4（千円未満の端数切捨て）×3.2－440,000円</t>
    <rPh sb="4" eb="6">
      <t>センエン</t>
    </rPh>
    <rPh sb="6" eb="8">
      <t>ミマン</t>
    </rPh>
    <rPh sb="9" eb="11">
      <t>ハスウ</t>
    </rPh>
    <rPh sb="11" eb="13">
      <t>キリス</t>
    </rPh>
    <rPh sb="27" eb="28">
      <t>エン</t>
    </rPh>
    <phoneticPr fontId="4"/>
  </si>
  <si>
    <t>①×0.9－1,100,000円</t>
    <rPh sb="15" eb="16">
      <t>エン</t>
    </rPh>
    <phoneticPr fontId="4"/>
  </si>
  <si>
    <t>①－1,950,000円</t>
    <rPh sb="11" eb="12">
      <t>エン</t>
    </rPh>
    <phoneticPr fontId="4"/>
  </si>
  <si>
    <t>公的年金等の収入金額</t>
    <rPh sb="0" eb="2">
      <t>コウテキ</t>
    </rPh>
    <rPh sb="2" eb="5">
      <t>ネンキントウ</t>
    </rPh>
    <rPh sb="6" eb="8">
      <t>シュウニュウ</t>
    </rPh>
    <rPh sb="8" eb="10">
      <t>キンガク</t>
    </rPh>
    <phoneticPr fontId="4"/>
  </si>
  <si>
    <t>その年の１２月３１日時点の年齢</t>
    <rPh sb="2" eb="3">
      <t>トシ</t>
    </rPh>
    <rPh sb="6" eb="7">
      <t>ガツ</t>
    </rPh>
    <rPh sb="9" eb="10">
      <t>ニチ</t>
    </rPh>
    <rPh sb="10" eb="12">
      <t>ジテン</t>
    </rPh>
    <rPh sb="13" eb="15">
      <t>ネンレイ</t>
    </rPh>
    <phoneticPr fontId="4"/>
  </si>
  <si>
    <t>歳</t>
    <rPh sb="0" eb="1">
      <t>サイ</t>
    </rPh>
    <phoneticPr fontId="4"/>
  </si>
  <si>
    <t>その他の合計所得金額</t>
    <rPh sb="2" eb="3">
      <t>タ</t>
    </rPh>
    <rPh sb="4" eb="6">
      <t>ゴウケイ</t>
    </rPh>
    <rPh sb="6" eb="8">
      <t>ショトク</t>
    </rPh>
    <rPh sb="8" eb="10">
      <t>キンガク</t>
    </rPh>
    <phoneticPr fontId="4"/>
  </si>
  <si>
    <t>雑所得金額</t>
    <rPh sb="0" eb="3">
      <t>ザツショトク</t>
    </rPh>
    <rPh sb="3" eb="5">
      <t>キンガク</t>
    </rPh>
    <phoneticPr fontId="4"/>
  </si>
  <si>
    <t>65歳未満の方の計算</t>
    <rPh sb="2" eb="5">
      <t>サイミマン</t>
    </rPh>
    <rPh sb="6" eb="7">
      <t>カタ</t>
    </rPh>
    <rPh sb="8" eb="10">
      <t>ケイサン</t>
    </rPh>
    <phoneticPr fontId="4"/>
  </si>
  <si>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4"/>
  </si>
  <si>
    <t>1,000万～2,000万円の場合</t>
    <rPh sb="5" eb="6">
      <t>マン</t>
    </rPh>
    <rPh sb="12" eb="13">
      <t>マン</t>
    </rPh>
    <rPh sb="13" eb="14">
      <t>エン</t>
    </rPh>
    <rPh sb="15" eb="17">
      <t>バアイ</t>
    </rPh>
    <phoneticPr fontId="4"/>
  </si>
  <si>
    <t>2,001万円～</t>
    <rPh sb="5" eb="6">
      <t>マン</t>
    </rPh>
    <rPh sb="6" eb="7">
      <t>エン</t>
    </rPh>
    <phoneticPr fontId="4"/>
  </si>
  <si>
    <t>雑所得の金額</t>
    <rPh sb="0" eb="1">
      <t>ザツ</t>
    </rPh>
    <rPh sb="1" eb="3">
      <t>ショトク</t>
    </rPh>
    <rPh sb="4" eb="6">
      <t>キンガク</t>
    </rPh>
    <phoneticPr fontId="4"/>
  </si>
  <si>
    <t>①－600,000円</t>
    <rPh sb="9" eb="10">
      <t>エン</t>
    </rPh>
    <phoneticPr fontId="4"/>
  </si>
  <si>
    <t>①－500,000円</t>
    <rPh sb="9" eb="10">
      <t>エン</t>
    </rPh>
    <phoneticPr fontId="4"/>
  </si>
  <si>
    <t>①－400,000円</t>
    <rPh sb="9" eb="10">
      <t>エン</t>
    </rPh>
    <phoneticPr fontId="4"/>
  </si>
  <si>
    <t>①×0.75－275,000円</t>
    <rPh sb="14" eb="15">
      <t>エン</t>
    </rPh>
    <phoneticPr fontId="4"/>
  </si>
  <si>
    <t>①×0.75－175,000円</t>
    <rPh sb="14" eb="15">
      <t>エン</t>
    </rPh>
    <phoneticPr fontId="4"/>
  </si>
  <si>
    <t>①×0.75－75,000円</t>
    <rPh sb="13" eb="14">
      <t>エン</t>
    </rPh>
    <phoneticPr fontId="4"/>
  </si>
  <si>
    <t>①×0.85－685,000円</t>
    <rPh sb="14" eb="15">
      <t>エン</t>
    </rPh>
    <phoneticPr fontId="4"/>
  </si>
  <si>
    <t>①×0.85－585,000円</t>
    <rPh sb="14" eb="15">
      <t>エン</t>
    </rPh>
    <phoneticPr fontId="4"/>
  </si>
  <si>
    <t>①×0.85－485,000円</t>
    <rPh sb="14" eb="15">
      <t>エン</t>
    </rPh>
    <phoneticPr fontId="4"/>
  </si>
  <si>
    <t>①×0.95－1,455,000円</t>
    <rPh sb="16" eb="17">
      <t>エン</t>
    </rPh>
    <phoneticPr fontId="4"/>
  </si>
  <si>
    <t>①×0.95－1,355,000円</t>
    <rPh sb="16" eb="17">
      <t>エン</t>
    </rPh>
    <phoneticPr fontId="4"/>
  </si>
  <si>
    <t>①×0.95－1,255,000円</t>
    <rPh sb="16" eb="17">
      <t>エン</t>
    </rPh>
    <phoneticPr fontId="4"/>
  </si>
  <si>
    <t>①－1,955,000円</t>
    <rPh sb="11" eb="12">
      <t>エン</t>
    </rPh>
    <phoneticPr fontId="4"/>
  </si>
  <si>
    <t>①－1,855,000円</t>
    <rPh sb="11" eb="12">
      <t>エン</t>
    </rPh>
    <phoneticPr fontId="4"/>
  </si>
  <si>
    <t>①－1,755,000円</t>
    <rPh sb="11" eb="12">
      <t>エン</t>
    </rPh>
    <phoneticPr fontId="4"/>
  </si>
  <si>
    <t>65歳以上の方の計算</t>
    <rPh sb="2" eb="5">
      <t>サイイジョウ</t>
    </rPh>
    <rPh sb="6" eb="7">
      <t>カタ</t>
    </rPh>
    <rPh sb="8" eb="10">
      <t>ケイサン</t>
    </rPh>
    <phoneticPr fontId="4"/>
  </si>
  <si>
    <t>①－1,100,000円</t>
    <rPh sb="3" eb="12">
      <t>１０００００エン</t>
    </rPh>
    <phoneticPr fontId="4"/>
  </si>
  <si>
    <t>①－1,000,000円</t>
    <rPh sb="11" eb="12">
      <t>エン</t>
    </rPh>
    <phoneticPr fontId="4"/>
  </si>
  <si>
    <t>①－900,000円</t>
    <rPh sb="9" eb="10">
      <t>エン</t>
    </rPh>
    <phoneticPr fontId="4"/>
  </si>
  <si>
    <t>円</t>
    <phoneticPr fontId="4"/>
  </si>
  <si>
    <t>支援金分</t>
    <rPh sb="0" eb="3">
      <t>シエンキン</t>
    </rPh>
    <rPh sb="3" eb="4">
      <t>ブン</t>
    </rPh>
    <phoneticPr fontId="7"/>
  </si>
  <si>
    <t>所得割</t>
    <rPh sb="0" eb="2">
      <t>ショトク</t>
    </rPh>
    <rPh sb="2" eb="3">
      <t>ワリ</t>
    </rPh>
    <phoneticPr fontId="4"/>
  </si>
  <si>
    <t>均等割</t>
    <rPh sb="0" eb="3">
      <t>キントウワリ</t>
    </rPh>
    <phoneticPr fontId="4"/>
  </si>
  <si>
    <t>平等割</t>
    <rPh sb="0" eb="2">
      <t>ビョウドウ</t>
    </rPh>
    <rPh sb="2" eb="3">
      <t>ワリ</t>
    </rPh>
    <phoneticPr fontId="4"/>
  </si>
  <si>
    <t>給与収入の場合</t>
    <rPh sb="0" eb="2">
      <t>キュウヨ</t>
    </rPh>
    <rPh sb="2" eb="4">
      <t>シュウニュウ</t>
    </rPh>
    <rPh sb="5" eb="7">
      <t>バアイ</t>
    </rPh>
    <phoneticPr fontId="4"/>
  </si>
  <si>
    <t>【①所得割】</t>
    <rPh sb="2" eb="4">
      <t>ショトク</t>
    </rPh>
    <rPh sb="4" eb="5">
      <t>ワリ</t>
    </rPh>
    <phoneticPr fontId="4"/>
  </si>
  <si>
    <t>【②均等割】</t>
    <rPh sb="2" eb="5">
      <t>キントウワ</t>
    </rPh>
    <phoneticPr fontId="4"/>
  </si>
  <si>
    <t>収入金額</t>
    <rPh sb="0" eb="2">
      <t>シュウニュウ</t>
    </rPh>
    <rPh sb="2" eb="3">
      <t>キン</t>
    </rPh>
    <rPh sb="3" eb="4">
      <t>ガク</t>
    </rPh>
    <phoneticPr fontId="4"/>
  </si>
  <si>
    <t>所得金額</t>
    <rPh sb="0" eb="2">
      <t>ショトク</t>
    </rPh>
    <rPh sb="2" eb="3">
      <t>キン</t>
    </rPh>
    <rPh sb="3" eb="4">
      <t>ガク</t>
    </rPh>
    <phoneticPr fontId="4"/>
  </si>
  <si>
    <t>基準総所得金額</t>
    <rPh sb="0" eb="2">
      <t>キジュン</t>
    </rPh>
    <rPh sb="2" eb="5">
      <t>ソウショトク</t>
    </rPh>
    <rPh sb="5" eb="7">
      <t>キンガク</t>
    </rPh>
    <phoneticPr fontId="4"/>
  </si>
  <si>
    <t>保　険　税　額</t>
    <rPh sb="0" eb="1">
      <t>ホ</t>
    </rPh>
    <rPh sb="2" eb="3">
      <t>ケン</t>
    </rPh>
    <rPh sb="4" eb="5">
      <t>ゼイ</t>
    </rPh>
    <rPh sb="6" eb="7">
      <t>ガク</t>
    </rPh>
    <phoneticPr fontId="4"/>
  </si>
  <si>
    <t>被保険者数</t>
    <rPh sb="0" eb="4">
      <t>ヒホケンシャ</t>
    </rPh>
    <rPh sb="4" eb="5">
      <t>スウ</t>
    </rPh>
    <phoneticPr fontId="4"/>
  </si>
  <si>
    <t>医療分</t>
    <rPh sb="0" eb="2">
      <t>イリョウ</t>
    </rPh>
    <rPh sb="2" eb="3">
      <t>ブン</t>
    </rPh>
    <phoneticPr fontId="4"/>
  </si>
  <si>
    <t>支援金分</t>
    <rPh sb="0" eb="3">
      <t>シエンキン</t>
    </rPh>
    <rPh sb="3" eb="4">
      <t>ブン</t>
    </rPh>
    <phoneticPr fontId="4"/>
  </si>
  <si>
    <r>
      <t xml:space="preserve">介護分
</t>
    </r>
    <r>
      <rPr>
        <sz val="11"/>
        <color theme="1"/>
        <rFont val="メイリオ"/>
        <family val="3"/>
        <charset val="128"/>
      </rPr>
      <t>（40～64歳）</t>
    </r>
    <rPh sb="0" eb="2">
      <t>カイゴ</t>
    </rPh>
    <rPh sb="2" eb="3">
      <t>ブン</t>
    </rPh>
    <rPh sb="10" eb="11">
      <t>サイ</t>
    </rPh>
    <phoneticPr fontId="4"/>
  </si>
  <si>
    <t>合計</t>
    <rPh sb="0" eb="2">
      <t>ゴウケイ</t>
    </rPh>
    <phoneticPr fontId="4"/>
  </si>
  <si>
    <t>７割軽減</t>
    <rPh sb="1" eb="2">
      <t>ワ</t>
    </rPh>
    <rPh sb="2" eb="4">
      <t>ケイゲン</t>
    </rPh>
    <phoneticPr fontId="4"/>
  </si>
  <si>
    <t>５割軽減</t>
    <rPh sb="1" eb="2">
      <t>ワリ</t>
    </rPh>
    <rPh sb="2" eb="4">
      <t>ケイゲン</t>
    </rPh>
    <phoneticPr fontId="4"/>
  </si>
  <si>
    <t>２割軽減</t>
    <rPh sb="1" eb="2">
      <t>ワリ</t>
    </rPh>
    <rPh sb="2" eb="4">
      <t>ケイゲン</t>
    </rPh>
    <phoneticPr fontId="4"/>
  </si>
  <si>
    <t>【③平等割】</t>
    <rPh sb="2" eb="4">
      <t>ビョウドウ</t>
    </rPh>
    <rPh sb="4" eb="5">
      <t>ワリ</t>
    </rPh>
    <phoneticPr fontId="4"/>
  </si>
  <si>
    <t>1世帯あたり</t>
    <rPh sb="1" eb="3">
      <t>セタイ</t>
    </rPh>
    <phoneticPr fontId="4"/>
  </si>
  <si>
    <t>令和７年度国民健康税試算表</t>
    <rPh sb="0" eb="2">
      <t>レイワ</t>
    </rPh>
    <rPh sb="3" eb="4">
      <t>ド</t>
    </rPh>
    <rPh sb="5" eb="7">
      <t>コクミン</t>
    </rPh>
    <rPh sb="6" eb="8">
      <t>ケンコウ</t>
    </rPh>
    <rPh sb="8" eb="9">
      <t>ゼイ</t>
    </rPh>
    <rPh sb="9" eb="12">
      <t>シサンヒョウ</t>
    </rPh>
    <phoneticPr fontId="7"/>
  </si>
  <si>
    <t>また、保険税額は、5月から翌年2月までの10期で納めていただきますので、</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</si>
</sst>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_);[Red]\(&quot;¥&quot;#,##0\)"/>
    <numFmt numFmtId="178" formatCode="#,##0_);[Red]\(#,##0\)"/>
    <numFmt numFmtId="179" formatCode="#,##0_ &quot;円＋10万円×（給与所得者等の数ー1）以下&quot;"/>
    <numFmt numFmtId="180" formatCode="&quot;430,000円+（&quot;#,##0_ &quot;円×被保険者数と特定同一世帯所属者数の合計）＋10万円×（給与所得者等の数ー1）以下&quot;"/>
    <numFmt numFmtId="181" formatCode="#,##0\ &quot;円&quot;"/>
    <numFmt numFmtId="182" formatCode="0.00\ &quot;%&quot;"/>
  </numFmts>
  <fonts count="3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b/>
      <sz val="22"/>
      <color theme="1"/>
      <name val="メイリオ"/>
      <family val="3"/>
      <charset val="128"/>
    </font>
    <font>
      <sz val="6"/>
      <name val="ＭＳ Ｐゴシック"/>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sz val="12"/>
      <color theme="0"/>
      <name val="メイリオ"/>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sz val="10"/>
      <color theme="1"/>
      <name val="メイリオ"/>
      <family val="3"/>
      <charset val="128"/>
    </font>
    <font>
      <b/>
      <sz val="20"/>
      <color theme="1"/>
      <name val="メイリオ"/>
      <family val="3"/>
      <charset val="128"/>
    </font>
    <font>
      <b/>
      <sz val="18"/>
      <color theme="1"/>
      <name val="メイリオ"/>
      <family val="3"/>
      <charset val="128"/>
    </font>
    <font>
      <sz val="16"/>
      <color theme="1"/>
      <name val="メイリオ"/>
      <family val="3"/>
      <charset val="128"/>
    </font>
    <font>
      <b/>
      <sz val="16"/>
      <color theme="1"/>
      <name val="メイリオ"/>
      <family val="3"/>
      <charset val="128"/>
    </font>
    <font>
      <b/>
      <u/>
      <sz val="16"/>
      <color theme="1"/>
      <name val="メイリオ"/>
      <family val="3"/>
      <charset val="128"/>
    </font>
    <font>
      <sz val="9"/>
      <color indexed="81"/>
      <name val="メイリオ"/>
      <family val="3"/>
      <charset val="128"/>
    </font>
    <font>
      <b/>
      <u/>
      <sz val="9"/>
      <color indexed="81"/>
      <name val="メイリオ"/>
      <family val="3"/>
      <charset val="128"/>
    </font>
    <font>
      <b/>
      <sz val="12"/>
      <color theme="0"/>
      <name val="メイリオ"/>
      <family val="3"/>
      <charset val="128"/>
    </font>
    <font>
      <sz val="12"/>
      <name val="メイリオ"/>
      <family val="3"/>
      <charset val="128"/>
    </font>
    <font>
      <b/>
      <sz val="16"/>
      <color indexed="81"/>
      <name val="ＭＳ Ｐゴシック"/>
      <family val="3"/>
      <charset val="128"/>
    </font>
    <font>
      <sz val="14"/>
      <color theme="1"/>
      <name val="メイリオ"/>
      <family val="3"/>
      <charset val="128"/>
    </font>
    <font>
      <b/>
      <sz val="14"/>
      <color theme="1"/>
      <name val="メイリオ"/>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E3FFC9"/>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12">
    <xf numFmtId="0" fontId="0" fillId="0" borderId="0" xfId="0">
      <alignment vertical="center"/>
    </xf>
    <xf numFmtId="0" fontId="3" fillId="2" borderId="1" xfId="3" applyFont="1" applyFill="1" applyBorder="1">
      <alignment vertical="center"/>
    </xf>
    <xf numFmtId="38" fontId="3" fillId="2" borderId="1" xfId="3" applyNumberFormat="1" applyFont="1" applyFill="1" applyBorder="1">
      <alignment vertical="center"/>
    </xf>
    <xf numFmtId="38" fontId="3" fillId="2" borderId="1" xfId="4" applyFont="1" applyFill="1" applyBorder="1">
      <alignment vertical="center"/>
    </xf>
    <xf numFmtId="0" fontId="5" fillId="3" borderId="0" xfId="3" applyFont="1" applyFill="1">
      <alignment vertical="center"/>
    </xf>
    <xf numFmtId="0" fontId="8" fillId="3" borderId="0" xfId="3" applyFont="1" applyFill="1" applyAlignment="1">
      <alignment horizontal="right" vertical="center"/>
    </xf>
    <xf numFmtId="0" fontId="8" fillId="3" borderId="0" xfId="3" applyFont="1" applyFill="1">
      <alignment vertical="center"/>
    </xf>
    <xf numFmtId="0" fontId="3" fillId="3" borderId="0" xfId="3" applyFont="1" applyFill="1">
      <alignment vertical="center"/>
    </xf>
    <xf numFmtId="0" fontId="3" fillId="3" borderId="0" xfId="3" applyFont="1" applyFill="1" applyAlignment="1">
      <alignment horizontal="right" vertical="center"/>
    </xf>
    <xf numFmtId="0" fontId="3" fillId="3" borderId="1" xfId="3" applyFont="1" applyFill="1" applyBorder="1">
      <alignment vertical="center"/>
    </xf>
    <xf numFmtId="0" fontId="3" fillId="3" borderId="1" xfId="3" applyFont="1" applyFill="1" applyBorder="1" applyAlignment="1">
      <alignment horizontal="center" vertical="center"/>
    </xf>
    <xf numFmtId="0" fontId="5" fillId="3" borderId="1" xfId="3" applyFont="1" applyFill="1" applyBorder="1" applyAlignment="1">
      <alignment horizontal="center" vertical="center"/>
    </xf>
    <xf numFmtId="0" fontId="5" fillId="3" borderId="1" xfId="3" applyFont="1" applyFill="1" applyBorder="1">
      <alignment vertical="center"/>
    </xf>
    <xf numFmtId="0" fontId="3" fillId="4" borderId="1" xfId="3" applyFont="1" applyFill="1" applyBorder="1" applyAlignment="1" applyProtection="1">
      <alignment horizontal="center" vertical="center"/>
      <protection locked="0"/>
    </xf>
    <xf numFmtId="0" fontId="3" fillId="4" borderId="1" xfId="3" applyFont="1" applyFill="1" applyBorder="1" applyProtection="1">
      <alignment vertical="center"/>
      <protection locked="0"/>
    </xf>
    <xf numFmtId="38" fontId="3" fillId="4" borderId="1" xfId="4" applyFont="1" applyFill="1" applyBorder="1" applyProtection="1">
      <alignment vertical="center"/>
      <protection locked="0"/>
    </xf>
    <xf numFmtId="176" fontId="3" fillId="4" borderId="1" xfId="3" applyNumberFormat="1" applyFont="1" applyFill="1" applyBorder="1" applyProtection="1">
      <alignment vertical="center"/>
      <protection locked="0"/>
    </xf>
    <xf numFmtId="38" fontId="5" fillId="3" borderId="1" xfId="1" applyFont="1" applyFill="1" applyBorder="1">
      <alignment vertical="center"/>
    </xf>
    <xf numFmtId="38" fontId="3" fillId="3" borderId="1" xfId="3" applyNumberFormat="1" applyFont="1" applyFill="1" applyBorder="1">
      <alignment vertical="center"/>
    </xf>
    <xf numFmtId="0" fontId="9" fillId="3" borderId="0" xfId="3" applyFont="1" applyFill="1">
      <alignment vertical="center"/>
    </xf>
    <xf numFmtId="38" fontId="5" fillId="3" borderId="1" xfId="4" applyFont="1" applyFill="1" applyBorder="1">
      <alignment vertical="center"/>
    </xf>
    <xf numFmtId="176" fontId="5" fillId="3" borderId="1" xfId="3" applyNumberFormat="1" applyFont="1" applyFill="1" applyBorder="1">
      <alignment vertical="center"/>
    </xf>
    <xf numFmtId="177" fontId="3" fillId="4" borderId="1" xfId="4" applyNumberFormat="1" applyFont="1" applyFill="1" applyBorder="1" applyProtection="1">
      <alignment vertical="center"/>
      <protection locked="0"/>
    </xf>
    <xf numFmtId="38" fontId="5" fillId="3" borderId="0" xfId="4" applyFont="1" applyFill="1">
      <alignment vertical="center"/>
    </xf>
    <xf numFmtId="0" fontId="3" fillId="5" borderId="1" xfId="3" applyFont="1" applyFill="1" applyBorder="1" applyAlignment="1" applyProtection="1">
      <alignment horizontal="center" vertical="center"/>
      <protection locked="0"/>
    </xf>
    <xf numFmtId="0" fontId="5" fillId="5" borderId="1" xfId="3" applyFont="1" applyFill="1" applyBorder="1" applyProtection="1">
      <alignment vertical="center"/>
      <protection locked="0"/>
    </xf>
    <xf numFmtId="178" fontId="3" fillId="4" borderId="1" xfId="3" applyNumberFormat="1" applyFont="1" applyFill="1" applyBorder="1" applyProtection="1">
      <alignment vertical="center"/>
      <protection locked="0"/>
    </xf>
    <xf numFmtId="0" fontId="13" fillId="3" borderId="0" xfId="3" applyFont="1" applyFill="1" applyAlignment="1">
      <alignment horizontal="right" vertical="center"/>
    </xf>
    <xf numFmtId="178" fontId="5" fillId="3" borderId="1" xfId="3" applyNumberFormat="1" applyFont="1" applyFill="1" applyBorder="1">
      <alignment vertical="center"/>
    </xf>
    <xf numFmtId="0" fontId="3" fillId="2" borderId="2" xfId="3" applyFont="1" applyFill="1" applyBorder="1">
      <alignment vertical="center"/>
    </xf>
    <xf numFmtId="0" fontId="14" fillId="2" borderId="3" xfId="3" applyFont="1" applyFill="1" applyBorder="1">
      <alignment vertical="center"/>
    </xf>
    <xf numFmtId="0" fontId="3" fillId="2" borderId="3" xfId="3" applyFont="1" applyFill="1" applyBorder="1">
      <alignment vertical="center"/>
    </xf>
    <xf numFmtId="0" fontId="5" fillId="2" borderId="3" xfId="3" applyFont="1" applyFill="1" applyBorder="1">
      <alignment vertical="center"/>
    </xf>
    <xf numFmtId="0" fontId="5" fillId="2" borderId="4" xfId="3" applyFont="1" applyFill="1" applyBorder="1">
      <alignment vertical="center"/>
    </xf>
    <xf numFmtId="0" fontId="3" fillId="2" borderId="5" xfId="3" applyFont="1" applyFill="1" applyBorder="1">
      <alignment vertical="center"/>
    </xf>
    <xf numFmtId="0" fontId="3" fillId="2" borderId="0" xfId="3" applyFont="1" applyFill="1">
      <alignment vertical="center"/>
    </xf>
    <xf numFmtId="0" fontId="12" fillId="2" borderId="0" xfId="3" applyFont="1" applyFill="1">
      <alignment vertical="center"/>
    </xf>
    <xf numFmtId="0" fontId="5" fillId="2" borderId="0" xfId="3" applyFont="1" applyFill="1">
      <alignment vertical="center"/>
    </xf>
    <xf numFmtId="0" fontId="5" fillId="2" borderId="6" xfId="3" applyFont="1" applyFill="1" applyBorder="1">
      <alignment vertical="center"/>
    </xf>
    <xf numFmtId="0" fontId="15" fillId="2" borderId="1" xfId="3" applyFont="1" applyFill="1" applyBorder="1" applyAlignment="1">
      <alignment horizontal="center" vertical="center"/>
    </xf>
    <xf numFmtId="38" fontId="3" fillId="2" borderId="0" xfId="3" applyNumberFormat="1" applyFont="1" applyFill="1">
      <alignment vertical="center"/>
    </xf>
    <xf numFmtId="0" fontId="15" fillId="2" borderId="0" xfId="3" applyFont="1" applyFill="1" applyAlignment="1">
      <alignment horizontal="center" vertical="center"/>
    </xf>
    <xf numFmtId="0" fontId="5" fillId="2" borderId="0" xfId="3" applyFont="1" applyFill="1" applyAlignment="1">
      <alignment vertical="top"/>
    </xf>
    <xf numFmtId="0" fontId="3" fillId="2" borderId="6" xfId="3" applyFont="1" applyFill="1" applyBorder="1">
      <alignment vertical="center"/>
    </xf>
    <xf numFmtId="0" fontId="3" fillId="2" borderId="1" xfId="3" applyFont="1" applyFill="1" applyBorder="1" applyAlignment="1">
      <alignment horizontal="center" vertical="center"/>
    </xf>
    <xf numFmtId="0" fontId="16" fillId="2" borderId="5" xfId="3" applyFont="1" applyFill="1" applyBorder="1">
      <alignment vertical="center"/>
    </xf>
    <xf numFmtId="0" fontId="5" fillId="2" borderId="0" xfId="3" applyFont="1" applyFill="1" applyAlignment="1"/>
    <xf numFmtId="0" fontId="3" fillId="2" borderId="1" xfId="3" applyFont="1" applyFill="1" applyBorder="1" applyAlignment="1">
      <alignment horizontal="left" vertical="center"/>
    </xf>
    <xf numFmtId="0" fontId="3" fillId="0" borderId="0" xfId="3" applyFont="1">
      <alignment vertical="center"/>
    </xf>
    <xf numFmtId="181" fontId="3" fillId="2" borderId="1" xfId="4" applyNumberFormat="1" applyFont="1" applyFill="1" applyBorder="1">
      <alignment vertical="center"/>
    </xf>
    <xf numFmtId="181" fontId="3" fillId="2" borderId="0" xfId="4" applyNumberFormat="1" applyFont="1" applyFill="1" applyBorder="1">
      <alignment vertical="center"/>
    </xf>
    <xf numFmtId="0" fontId="17" fillId="2" borderId="1" xfId="3" applyFont="1" applyFill="1" applyBorder="1">
      <alignment vertical="center"/>
    </xf>
    <xf numFmtId="0" fontId="5" fillId="2" borderId="5" xfId="3" applyFont="1" applyFill="1" applyBorder="1">
      <alignment vertical="center"/>
    </xf>
    <xf numFmtId="0" fontId="5" fillId="2" borderId="7" xfId="3" applyFont="1" applyFill="1" applyBorder="1">
      <alignment vertical="center"/>
    </xf>
    <xf numFmtId="0" fontId="3" fillId="2" borderId="8" xfId="3" applyFont="1" applyFill="1" applyBorder="1">
      <alignment vertical="center"/>
    </xf>
    <xf numFmtId="38" fontId="3" fillId="2" borderId="8" xfId="4" applyFont="1" applyFill="1" applyBorder="1">
      <alignment vertical="center"/>
    </xf>
    <xf numFmtId="0" fontId="3" fillId="2" borderId="9" xfId="3" applyFont="1" applyFill="1" applyBorder="1">
      <alignment vertical="center"/>
    </xf>
    <xf numFmtId="181" fontId="3" fillId="2" borderId="8" xfId="4" applyNumberFormat="1" applyFont="1" applyFill="1" applyBorder="1" applyAlignment="1">
      <alignment vertical="center"/>
    </xf>
    <xf numFmtId="0" fontId="3" fillId="2" borderId="10" xfId="3" applyFont="1" applyFill="1" applyBorder="1">
      <alignment vertical="center"/>
    </xf>
    <xf numFmtId="0" fontId="5" fillId="0" borderId="3" xfId="3" applyFont="1" applyBorder="1">
      <alignment vertical="center"/>
    </xf>
    <xf numFmtId="0" fontId="3" fillId="0" borderId="3" xfId="3" applyFont="1" applyBorder="1">
      <alignment vertical="center"/>
    </xf>
    <xf numFmtId="0" fontId="5" fillId="0" borderId="0" xfId="3" applyFont="1">
      <alignment vertical="center"/>
    </xf>
    <xf numFmtId="0" fontId="19" fillId="4" borderId="13" xfId="3" applyFont="1" applyFill="1" applyBorder="1">
      <alignment vertical="center"/>
    </xf>
    <xf numFmtId="0" fontId="19" fillId="0" borderId="12" xfId="3" applyFont="1" applyBorder="1" applyAlignment="1">
      <alignment horizontal="center" vertical="center"/>
    </xf>
    <xf numFmtId="0" fontId="14" fillId="0" borderId="12" xfId="3" applyFont="1" applyBorder="1" applyAlignment="1">
      <alignment horizontal="right" vertical="center"/>
    </xf>
    <xf numFmtId="0" fontId="19" fillId="0" borderId="12" xfId="3" applyFont="1" applyBorder="1">
      <alignment vertical="center"/>
    </xf>
    <xf numFmtId="0" fontId="19" fillId="0" borderId="13" xfId="3" applyFont="1" applyBorder="1">
      <alignment vertical="center"/>
    </xf>
    <xf numFmtId="0" fontId="20" fillId="0" borderId="0" xfId="3" applyFont="1" applyAlignment="1">
      <alignment horizontal="left" vertical="center"/>
    </xf>
    <xf numFmtId="0" fontId="18" fillId="0" borderId="0" xfId="3" applyFont="1" applyAlignment="1">
      <alignment horizontal="center" vertical="center"/>
    </xf>
    <xf numFmtId="0" fontId="14" fillId="0" borderId="0" xfId="3" applyFont="1" applyAlignment="1">
      <alignment horizontal="right" vertical="center"/>
    </xf>
    <xf numFmtId="0" fontId="19" fillId="0" borderId="0" xfId="3" applyFont="1">
      <alignment vertical="center"/>
    </xf>
    <xf numFmtId="0" fontId="20" fillId="0" borderId="0" xfId="3" applyFont="1">
      <alignment vertical="center"/>
    </xf>
    <xf numFmtId="0" fontId="21" fillId="0" borderId="0" xfId="3" applyFont="1">
      <alignment vertical="center"/>
    </xf>
    <xf numFmtId="0" fontId="22" fillId="3" borderId="0" xfId="3" applyFont="1" applyFill="1">
      <alignment vertical="center"/>
    </xf>
    <xf numFmtId="0" fontId="3" fillId="3" borderId="0" xfId="0" applyFont="1" applyFill="1">
      <alignment vertical="center"/>
    </xf>
    <xf numFmtId="176" fontId="3" fillId="4" borderId="11" xfId="0" applyNumberFormat="1" applyFont="1" applyFill="1" applyBorder="1" applyProtection="1">
      <alignment vertical="center"/>
      <protection locked="0"/>
    </xf>
    <xf numFmtId="0" fontId="3" fillId="3" borderId="13" xfId="0" applyFont="1" applyFill="1" applyBorder="1">
      <alignment vertical="center"/>
    </xf>
    <xf numFmtId="0" fontId="25" fillId="7" borderId="12" xfId="0" applyFont="1" applyFill="1" applyBorder="1">
      <alignment vertical="center"/>
    </xf>
    <xf numFmtId="38" fontId="3" fillId="3" borderId="28" xfId="1" applyFont="1" applyFill="1" applyBorder="1" applyAlignment="1" applyProtection="1">
      <alignment horizontal="center" vertical="center"/>
      <protection locked="0"/>
    </xf>
    <xf numFmtId="0" fontId="3" fillId="6" borderId="17" xfId="0" applyFont="1" applyFill="1" applyBorder="1" applyAlignment="1">
      <alignment horizontal="center" vertical="center"/>
    </xf>
    <xf numFmtId="176" fontId="3" fillId="3" borderId="5" xfId="0" applyNumberFormat="1" applyFont="1" applyFill="1" applyBorder="1">
      <alignment vertical="center"/>
    </xf>
    <xf numFmtId="0" fontId="3" fillId="3" borderId="0" xfId="0" applyFont="1" applyFill="1" applyAlignment="1">
      <alignment horizontal="center" vertical="center"/>
    </xf>
    <xf numFmtId="176" fontId="3" fillId="3" borderId="0" xfId="0" applyNumberFormat="1" applyFont="1" applyFill="1">
      <alignment vertical="center"/>
    </xf>
    <xf numFmtId="176" fontId="3" fillId="3" borderId="31" xfId="0" applyNumberFormat="1" applyFont="1" applyFill="1" applyBorder="1">
      <alignment vertical="center"/>
    </xf>
    <xf numFmtId="0" fontId="3" fillId="3" borderId="32" xfId="0" applyFont="1" applyFill="1" applyBorder="1">
      <alignment vertical="center"/>
    </xf>
    <xf numFmtId="0" fontId="3" fillId="3" borderId="20" xfId="0" applyFont="1" applyFill="1" applyBorder="1" applyAlignment="1">
      <alignment horizontal="right" vertical="center"/>
    </xf>
    <xf numFmtId="0" fontId="3" fillId="3" borderId="32" xfId="0" applyFont="1" applyFill="1" applyBorder="1" applyAlignment="1">
      <alignment horizontal="center" vertical="center"/>
    </xf>
    <xf numFmtId="176" fontId="3" fillId="3" borderId="32" xfId="0" applyNumberFormat="1" applyFont="1" applyFill="1" applyBorder="1">
      <alignment vertical="center"/>
    </xf>
    <xf numFmtId="176" fontId="3" fillId="3" borderId="33" xfId="0" applyNumberFormat="1" applyFont="1" applyFill="1" applyBorder="1">
      <alignment vertical="center"/>
    </xf>
    <xf numFmtId="0" fontId="3" fillId="3" borderId="34" xfId="0" applyFont="1" applyFill="1" applyBorder="1" applyAlignment="1">
      <alignment horizontal="center" vertical="center"/>
    </xf>
    <xf numFmtId="0" fontId="3" fillId="3" borderId="34" xfId="0" applyFont="1" applyFill="1" applyBorder="1">
      <alignment vertical="center"/>
    </xf>
    <xf numFmtId="38" fontId="3" fillId="3" borderId="33" xfId="1" applyFont="1" applyFill="1" applyBorder="1" applyProtection="1">
      <alignment vertical="center"/>
    </xf>
    <xf numFmtId="0" fontId="3" fillId="3" borderId="35" xfId="0" applyFont="1" applyFill="1" applyBorder="1">
      <alignment vertical="center"/>
    </xf>
    <xf numFmtId="0" fontId="3" fillId="3" borderId="35" xfId="0" applyFont="1" applyFill="1" applyBorder="1" applyAlignment="1">
      <alignment horizontal="right" vertical="center"/>
    </xf>
    <xf numFmtId="0" fontId="26" fillId="3" borderId="0" xfId="0" applyFont="1" applyFill="1">
      <alignment vertical="center"/>
    </xf>
    <xf numFmtId="0" fontId="13" fillId="3" borderId="0" xfId="0" applyFont="1" applyFill="1">
      <alignment vertical="center"/>
    </xf>
    <xf numFmtId="0" fontId="3" fillId="8" borderId="0" xfId="0" applyFont="1" applyFill="1">
      <alignment vertical="center"/>
    </xf>
    <xf numFmtId="0" fontId="3" fillId="8" borderId="13" xfId="0" applyFont="1" applyFill="1" applyBorder="1">
      <alignment vertical="center"/>
    </xf>
    <xf numFmtId="176" fontId="3" fillId="5" borderId="11" xfId="0" applyNumberFormat="1" applyFont="1" applyFill="1" applyBorder="1" applyProtection="1">
      <alignment vertical="center"/>
      <protection locked="0"/>
    </xf>
    <xf numFmtId="176" fontId="13" fillId="7" borderId="11" xfId="0" applyNumberFormat="1" applyFont="1" applyFill="1" applyBorder="1">
      <alignment vertical="center"/>
    </xf>
    <xf numFmtId="0" fontId="3" fillId="9" borderId="40" xfId="0" applyFont="1" applyFill="1" applyBorder="1" applyAlignment="1">
      <alignment horizontal="center" vertical="center"/>
    </xf>
    <xf numFmtId="0" fontId="3" fillId="10" borderId="40" xfId="0" applyFont="1" applyFill="1" applyBorder="1" applyAlignment="1">
      <alignment horizontal="center" vertical="center"/>
    </xf>
    <xf numFmtId="176" fontId="3" fillId="8" borderId="31" xfId="0" applyNumberFormat="1" applyFont="1" applyFill="1" applyBorder="1">
      <alignment vertical="center"/>
    </xf>
    <xf numFmtId="0" fontId="3" fillId="8" borderId="32" xfId="0" applyFont="1" applyFill="1" applyBorder="1" applyAlignment="1">
      <alignment horizontal="center" vertical="center"/>
    </xf>
    <xf numFmtId="176" fontId="3" fillId="8" borderId="32" xfId="0" applyNumberFormat="1" applyFont="1" applyFill="1" applyBorder="1">
      <alignment vertical="center"/>
    </xf>
    <xf numFmtId="176" fontId="3" fillId="8" borderId="41" xfId="0" applyNumberFormat="1" applyFont="1" applyFill="1" applyBorder="1">
      <alignment vertical="center"/>
    </xf>
    <xf numFmtId="176" fontId="3" fillId="8" borderId="5" xfId="0" applyNumberFormat="1" applyFont="1" applyFill="1" applyBorder="1">
      <alignment vertical="center"/>
    </xf>
    <xf numFmtId="0" fontId="3" fillId="8" borderId="42" xfId="0" applyFont="1" applyFill="1" applyBorder="1">
      <alignment vertical="center"/>
    </xf>
    <xf numFmtId="0" fontId="3" fillId="8" borderId="40" xfId="0" applyFont="1" applyFill="1" applyBorder="1" applyAlignment="1">
      <alignment horizontal="right" vertical="center"/>
    </xf>
    <xf numFmtId="0" fontId="3" fillId="8" borderId="0" xfId="0" applyFont="1" applyFill="1" applyAlignment="1">
      <alignment horizontal="center" vertical="center"/>
    </xf>
    <xf numFmtId="176" fontId="3" fillId="8" borderId="0" xfId="0" applyNumberFormat="1" applyFont="1" applyFill="1">
      <alignment vertical="center"/>
    </xf>
    <xf numFmtId="176" fontId="3" fillId="8" borderId="6" xfId="0" applyNumberFormat="1" applyFont="1" applyFill="1" applyBorder="1">
      <alignment vertical="center"/>
    </xf>
    <xf numFmtId="176" fontId="3" fillId="8" borderId="43" xfId="0" applyNumberFormat="1" applyFont="1" applyFill="1" applyBorder="1">
      <alignment vertical="center"/>
    </xf>
    <xf numFmtId="0" fontId="3" fillId="8" borderId="44" xfId="0" applyFont="1" applyFill="1" applyBorder="1">
      <alignment vertical="center"/>
    </xf>
    <xf numFmtId="0" fontId="3" fillId="8" borderId="45" xfId="0" applyFont="1" applyFill="1" applyBorder="1" applyAlignment="1">
      <alignment horizontal="right" vertical="center"/>
    </xf>
    <xf numFmtId="176" fontId="3" fillId="8" borderId="33" xfId="0" applyNumberFormat="1" applyFont="1" applyFill="1" applyBorder="1">
      <alignment vertical="center"/>
    </xf>
    <xf numFmtId="0" fontId="3" fillId="8" borderId="34" xfId="0" applyFont="1" applyFill="1" applyBorder="1" applyAlignment="1">
      <alignment horizontal="center" vertical="center"/>
    </xf>
    <xf numFmtId="176" fontId="3" fillId="8" borderId="34" xfId="0" applyNumberFormat="1" applyFont="1" applyFill="1" applyBorder="1">
      <alignment vertical="center"/>
    </xf>
    <xf numFmtId="176" fontId="3" fillId="8" borderId="35" xfId="0" applyNumberFormat="1" applyFont="1" applyFill="1" applyBorder="1">
      <alignment vertical="center"/>
    </xf>
    <xf numFmtId="0" fontId="3" fillId="8" borderId="46" xfId="0" applyFont="1" applyFill="1" applyBorder="1">
      <alignment vertical="center"/>
    </xf>
    <xf numFmtId="0" fontId="3" fillId="8" borderId="47" xfId="0" applyFont="1" applyFill="1" applyBorder="1" applyAlignment="1">
      <alignment horizontal="right" vertical="center"/>
    </xf>
    <xf numFmtId="0" fontId="3" fillId="8" borderId="32" xfId="0" applyFont="1" applyFill="1" applyBorder="1">
      <alignment vertical="center"/>
    </xf>
    <xf numFmtId="0" fontId="3" fillId="8" borderId="48" xfId="0" applyFont="1" applyFill="1" applyBorder="1">
      <alignment vertical="center"/>
    </xf>
    <xf numFmtId="0" fontId="3" fillId="8" borderId="34" xfId="0" applyFont="1" applyFill="1" applyBorder="1">
      <alignment vertical="center"/>
    </xf>
    <xf numFmtId="0" fontId="3" fillId="8" borderId="35" xfId="0" applyFont="1" applyFill="1" applyBorder="1">
      <alignment vertical="center"/>
    </xf>
    <xf numFmtId="0" fontId="0" fillId="8" borderId="0" xfId="0" applyFill="1">
      <alignment vertical="center"/>
    </xf>
    <xf numFmtId="0" fontId="3" fillId="0" borderId="1" xfId="0" applyFont="1" applyBorder="1" applyAlignment="1">
      <alignment horizontal="right" vertical="center"/>
    </xf>
    <xf numFmtId="0" fontId="3" fillId="0" borderId="1" xfId="3" applyFont="1" applyBorder="1" applyAlignment="1">
      <alignment horizontal="center" vertical="center"/>
    </xf>
    <xf numFmtId="3" fontId="3" fillId="0" borderId="0" xfId="0" applyNumberFormat="1"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181" fontId="3" fillId="0" borderId="1" xfId="4" applyNumberFormat="1" applyFont="1" applyFill="1" applyBorder="1">
      <alignment vertical="center"/>
    </xf>
    <xf numFmtId="181" fontId="3" fillId="0" borderId="1" xfId="4" applyNumberFormat="1" applyFont="1" applyFill="1" applyBorder="1" applyAlignment="1">
      <alignment vertical="center"/>
    </xf>
    <xf numFmtId="0" fontId="3" fillId="0" borderId="0" xfId="3" applyFont="1" applyAlignment="1">
      <alignment horizontal="center" vertical="center"/>
    </xf>
    <xf numFmtId="181" fontId="3" fillId="0" borderId="0" xfId="4" applyNumberFormat="1" applyFont="1" applyFill="1" applyBorder="1" applyAlignment="1">
      <alignment vertical="center"/>
    </xf>
    <xf numFmtId="3" fontId="28" fillId="0" borderId="0" xfId="0" applyNumberFormat="1" applyFont="1">
      <alignment vertical="center"/>
    </xf>
    <xf numFmtId="0" fontId="3" fillId="0" borderId="0" xfId="0" applyFont="1" applyAlignment="1">
      <alignment horizontal="right" vertical="center"/>
    </xf>
    <xf numFmtId="3" fontId="29" fillId="0" borderId="38" xfId="0" applyNumberFormat="1" applyFont="1" applyBorder="1">
      <alignment vertical="center"/>
    </xf>
    <xf numFmtId="3" fontId="3" fillId="0" borderId="38" xfId="0" applyNumberFormat="1" applyFont="1" applyBorder="1">
      <alignment vertical="center"/>
    </xf>
    <xf numFmtId="3" fontId="29" fillId="0" borderId="0" xfId="0" applyNumberFormat="1" applyFont="1">
      <alignmen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11" borderId="1" xfId="0" applyNumberFormat="1" applyFont="1" applyFill="1" applyBorder="1">
      <alignment vertical="center"/>
    </xf>
    <xf numFmtId="0" fontId="3" fillId="11" borderId="1" xfId="0" applyFont="1" applyFill="1" applyBorder="1">
      <alignment vertical="center"/>
    </xf>
    <xf numFmtId="3" fontId="3" fillId="0" borderId="1" xfId="0" applyNumberFormat="1" applyFont="1" applyBorder="1">
      <alignment vertical="center"/>
    </xf>
    <xf numFmtId="0" fontId="3" fillId="0" borderId="1" xfId="0" applyFont="1" applyBorder="1">
      <alignment vertical="center"/>
    </xf>
    <xf numFmtId="182" fontId="3" fillId="2" borderId="1" xfId="3" applyNumberFormat="1" applyFont="1" applyFill="1" applyBorder="1">
      <alignment vertical="center"/>
    </xf>
    <xf numFmtId="10" fontId="3" fillId="0" borderId="1" xfId="2" applyNumberFormat="1" applyFont="1" applyFill="1" applyBorder="1">
      <alignment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4" fillId="0" borderId="12" xfId="3" applyFont="1" applyBorder="1" applyAlignment="1">
      <alignment horizontal="right" vertical="center"/>
    </xf>
    <xf numFmtId="0" fontId="6" fillId="3" borderId="0" xfId="3" applyFont="1" applyFill="1" applyAlignment="1">
      <alignment horizontal="left" vertical="center"/>
    </xf>
    <xf numFmtId="0" fontId="3" fillId="2" borderId="1" xfId="3" applyFont="1" applyFill="1" applyBorder="1" applyAlignment="1">
      <alignment horizontal="center" vertical="center"/>
    </xf>
    <xf numFmtId="179" fontId="3" fillId="2" borderId="1" xfId="3" applyNumberFormat="1" applyFont="1" applyFill="1" applyBorder="1" applyAlignment="1">
      <alignment horizontal="left" vertical="center"/>
    </xf>
    <xf numFmtId="180" fontId="3" fillId="2" borderId="1" xfId="3" applyNumberFormat="1" applyFont="1" applyFill="1" applyBorder="1" applyAlignment="1">
      <alignment horizontal="left" vertical="center"/>
    </xf>
    <xf numFmtId="0" fontId="18" fillId="4" borderId="11" xfId="3" applyFont="1" applyFill="1" applyBorder="1" applyAlignment="1">
      <alignment horizontal="center" vertical="center"/>
    </xf>
    <xf numFmtId="0" fontId="18" fillId="4" borderId="12" xfId="3" applyFont="1" applyFill="1" applyBorder="1" applyAlignment="1">
      <alignment horizontal="center" vertical="center"/>
    </xf>
    <xf numFmtId="0" fontId="14" fillId="4" borderId="12" xfId="3" applyFont="1" applyFill="1" applyBorder="1" applyAlignment="1">
      <alignment horizontal="right" vertical="center"/>
    </xf>
    <xf numFmtId="0" fontId="3"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38" fontId="3" fillId="3" borderId="26" xfId="1" applyFont="1" applyFill="1" applyBorder="1" applyAlignment="1" applyProtection="1">
      <alignment horizontal="center" vertical="center"/>
      <protection locked="0"/>
    </xf>
    <xf numFmtId="38" fontId="3" fillId="3" borderId="9" xfId="1" applyFont="1" applyFill="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7" xfId="0" applyFont="1" applyFill="1" applyBorder="1" applyAlignment="1">
      <alignment horizontal="center" vertical="center"/>
    </xf>
    <xf numFmtId="0" fontId="3" fillId="9" borderId="38"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36" xfId="0" applyFont="1" applyFill="1" applyBorder="1" applyAlignment="1">
      <alignment horizontal="center" vertical="center"/>
    </xf>
    <xf numFmtId="0" fontId="3" fillId="10" borderId="29" xfId="0" applyFont="1" applyFill="1" applyBorder="1" applyAlignment="1">
      <alignment horizontal="center" vertical="center"/>
    </xf>
    <xf numFmtId="0" fontId="3" fillId="10" borderId="30" xfId="0" applyFont="1" applyFill="1" applyBorder="1" applyAlignment="1">
      <alignment horizontal="center" vertical="center"/>
    </xf>
    <xf numFmtId="0" fontId="3" fillId="10" borderId="36"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1" xfId="0" applyFont="1" applyFill="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0" xfId="0" applyFont="1" applyAlignment="1">
      <alignment horizontal="center" vertical="center"/>
    </xf>
  </cellXfs>
  <cellStyles count="5">
    <cellStyle name="パーセント" xfId="2" builtinId="5"/>
    <cellStyle name="桁区切り" xfId="1" builtinId="6"/>
    <cellStyle name="桁区切り 2" xfId="4" xr:uid="{DC8FA328-E139-4A69-ACE8-3276DE6DD41C}"/>
    <cellStyle name="標準" xfId="0" builtinId="0"/>
    <cellStyle name="標準 2" xfId="3" xr:uid="{22DBBD07-28F5-45B3-8B0B-7633F57E4D59}"/>
  </cellStyles>
  <dxfs count="2">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D3C51DA3-18F9-4F8F-A143-2F412F0C1416}"/>
            </a:ext>
          </a:extLst>
        </xdr:cNvPr>
        <xdr:cNvSpPr/>
      </xdr:nvSpPr>
      <xdr:spPr>
        <a:xfrm flipH="1">
          <a:off x="5819774" y="11696700"/>
          <a:ext cx="542925" cy="2762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8C409B74-2843-40C4-8166-DB38415C633D}"/>
            </a:ext>
          </a:extLst>
        </xdr:cNvPr>
        <xdr:cNvSpPr/>
      </xdr:nvSpPr>
      <xdr:spPr>
        <a:xfrm>
          <a:off x="3267075" y="6162675"/>
          <a:ext cx="542925" cy="68580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F22D81D9-F385-4A28-98DD-166CD7A815F5}"/>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F95F0C6B-99FC-A8F3-C360-F587AE3E989F}"/>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9DCD3B5C-F5AB-89D6-DC40-5798ACD4443E}"/>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BE80FEDA-6911-6D83-11BF-92C97EF5626C}"/>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929A068D-5F3F-5578-14A0-E54FD39D6458}"/>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E7CF890-9AAC-E5FB-6C81-680A62134476}"/>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29F5E75F-38FB-473F-B672-9EA43ED8E2C6}"/>
            </a:ext>
          </a:extLst>
        </xdr:cNvPr>
        <xdr:cNvSpPr/>
      </xdr:nvSpPr>
      <xdr:spPr>
        <a:xfrm>
          <a:off x="10848971" y="1009650"/>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9AEDD95E-1E31-43C9-B0FB-18755036524C}"/>
            </a:ext>
          </a:extLst>
        </xdr:cNvPr>
        <xdr:cNvSpPr/>
      </xdr:nvSpPr>
      <xdr:spPr>
        <a:xfrm>
          <a:off x="8127545" y="1009650"/>
          <a:ext cx="612322" cy="318407"/>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4288-3F18-4BB5-BB74-FCBC7FEB9849}">
  <dimension ref="A1:M54"/>
  <sheetViews>
    <sheetView tabSelected="1" topLeftCell="A3" workbookViewId="0">
      <selection activeCell="H7" sqref="H7"/>
    </sheetView>
  </sheetViews>
  <sheetFormatPr defaultRowHeight="18.75" x14ac:dyDescent="0.4"/>
  <cols>
    <col min="1" max="1" width="3.875" style="4" bestFit="1" customWidth="1"/>
    <col min="2" max="6" width="17.375" style="4" customWidth="1"/>
    <col min="7" max="7" width="16.75" style="4" customWidth="1"/>
    <col min="8" max="8" width="15.625" style="4" customWidth="1"/>
    <col min="9" max="9" width="20.125" style="4" customWidth="1"/>
    <col min="10" max="10" width="5.125" style="4" customWidth="1"/>
    <col min="11" max="11" width="11.25" style="4" hidden="1" customWidth="1"/>
    <col min="12" max="12" width="9.25" style="4" hidden="1" customWidth="1"/>
    <col min="13" max="13" width="11.25" style="4" hidden="1" customWidth="1"/>
    <col min="14" max="14" width="12.125" style="4" customWidth="1"/>
    <col min="15" max="15" width="9" style="4"/>
    <col min="16" max="16" width="6" style="4" customWidth="1"/>
    <col min="17" max="256" width="9" style="4"/>
    <col min="257" max="257" width="3.875" style="4" bestFit="1" customWidth="1"/>
    <col min="258" max="262" width="17.375" style="4" customWidth="1"/>
    <col min="263" max="265" width="15.625" style="4" customWidth="1"/>
    <col min="266" max="266" width="10.75" style="4" customWidth="1"/>
    <col min="267" max="268" width="0" style="4" hidden="1" customWidth="1"/>
    <col min="269" max="269" width="9.375" style="4" customWidth="1"/>
    <col min="270" max="270" width="10" style="4" customWidth="1"/>
    <col min="271" max="271" width="9" style="4"/>
    <col min="272" max="272" width="6" style="4" customWidth="1"/>
    <col min="273" max="512" width="9" style="4"/>
    <col min="513" max="513" width="3.875" style="4" bestFit="1" customWidth="1"/>
    <col min="514" max="518" width="17.375" style="4" customWidth="1"/>
    <col min="519" max="521" width="15.625" style="4" customWidth="1"/>
    <col min="522" max="522" width="10.75" style="4" customWidth="1"/>
    <col min="523" max="524" width="0" style="4" hidden="1" customWidth="1"/>
    <col min="525" max="525" width="9.375" style="4" customWidth="1"/>
    <col min="526" max="526" width="10" style="4" customWidth="1"/>
    <col min="527" max="527" width="9" style="4"/>
    <col min="528" max="528" width="6" style="4" customWidth="1"/>
    <col min="529" max="768" width="9" style="4"/>
    <col min="769" max="769" width="3.875" style="4" bestFit="1" customWidth="1"/>
    <col min="770" max="774" width="17.375" style="4" customWidth="1"/>
    <col min="775" max="777" width="15.625" style="4" customWidth="1"/>
    <col min="778" max="778" width="10.75" style="4" customWidth="1"/>
    <col min="779" max="780" width="0" style="4" hidden="1" customWidth="1"/>
    <col min="781" max="781" width="9.375" style="4" customWidth="1"/>
    <col min="782" max="782" width="10" style="4" customWidth="1"/>
    <col min="783" max="783" width="9" style="4"/>
    <col min="784" max="784" width="6" style="4" customWidth="1"/>
    <col min="785" max="1024" width="9" style="4"/>
    <col min="1025" max="1025" width="3.875" style="4" bestFit="1" customWidth="1"/>
    <col min="1026" max="1030" width="17.375" style="4" customWidth="1"/>
    <col min="1031" max="1033" width="15.625" style="4" customWidth="1"/>
    <col min="1034" max="1034" width="10.75" style="4" customWidth="1"/>
    <col min="1035" max="1036" width="0" style="4" hidden="1" customWidth="1"/>
    <col min="1037" max="1037" width="9.375" style="4" customWidth="1"/>
    <col min="1038" max="1038" width="10" style="4" customWidth="1"/>
    <col min="1039" max="1039" width="9" style="4"/>
    <col min="1040" max="1040" width="6" style="4" customWidth="1"/>
    <col min="1041" max="1280" width="9" style="4"/>
    <col min="1281" max="1281" width="3.875" style="4" bestFit="1" customWidth="1"/>
    <col min="1282" max="1286" width="17.375" style="4" customWidth="1"/>
    <col min="1287" max="1289" width="15.625" style="4" customWidth="1"/>
    <col min="1290" max="1290" width="10.75" style="4" customWidth="1"/>
    <col min="1291" max="1292" width="0" style="4" hidden="1" customWidth="1"/>
    <col min="1293" max="1293" width="9.375" style="4" customWidth="1"/>
    <col min="1294" max="1294" width="10" style="4" customWidth="1"/>
    <col min="1295" max="1295" width="9" style="4"/>
    <col min="1296" max="1296" width="6" style="4" customWidth="1"/>
    <col min="1297" max="1536" width="9" style="4"/>
    <col min="1537" max="1537" width="3.875" style="4" bestFit="1" customWidth="1"/>
    <col min="1538" max="1542" width="17.375" style="4" customWidth="1"/>
    <col min="1543" max="1545" width="15.625" style="4" customWidth="1"/>
    <col min="1546" max="1546" width="10.75" style="4" customWidth="1"/>
    <col min="1547" max="1548" width="0" style="4" hidden="1" customWidth="1"/>
    <col min="1549" max="1549" width="9.375" style="4" customWidth="1"/>
    <col min="1550" max="1550" width="10" style="4" customWidth="1"/>
    <col min="1551" max="1551" width="9" style="4"/>
    <col min="1552" max="1552" width="6" style="4" customWidth="1"/>
    <col min="1553" max="1792" width="9" style="4"/>
    <col min="1793" max="1793" width="3.875" style="4" bestFit="1" customWidth="1"/>
    <col min="1794" max="1798" width="17.375" style="4" customWidth="1"/>
    <col min="1799" max="1801" width="15.625" style="4" customWidth="1"/>
    <col min="1802" max="1802" width="10.75" style="4" customWidth="1"/>
    <col min="1803" max="1804" width="0" style="4" hidden="1" customWidth="1"/>
    <col min="1805" max="1805" width="9.375" style="4" customWidth="1"/>
    <col min="1806" max="1806" width="10" style="4" customWidth="1"/>
    <col min="1807" max="1807" width="9" style="4"/>
    <col min="1808" max="1808" width="6" style="4" customWidth="1"/>
    <col min="1809" max="2048" width="9" style="4"/>
    <col min="2049" max="2049" width="3.875" style="4" bestFit="1" customWidth="1"/>
    <col min="2050" max="2054" width="17.375" style="4" customWidth="1"/>
    <col min="2055" max="2057" width="15.625" style="4" customWidth="1"/>
    <col min="2058" max="2058" width="10.75" style="4" customWidth="1"/>
    <col min="2059" max="2060" width="0" style="4" hidden="1" customWidth="1"/>
    <col min="2061" max="2061" width="9.375" style="4" customWidth="1"/>
    <col min="2062" max="2062" width="10" style="4" customWidth="1"/>
    <col min="2063" max="2063" width="9" style="4"/>
    <col min="2064" max="2064" width="6" style="4" customWidth="1"/>
    <col min="2065" max="2304" width="9" style="4"/>
    <col min="2305" max="2305" width="3.875" style="4" bestFit="1" customWidth="1"/>
    <col min="2306" max="2310" width="17.375" style="4" customWidth="1"/>
    <col min="2311" max="2313" width="15.625" style="4" customWidth="1"/>
    <col min="2314" max="2314" width="10.75" style="4" customWidth="1"/>
    <col min="2315" max="2316" width="0" style="4" hidden="1" customWidth="1"/>
    <col min="2317" max="2317" width="9.375" style="4" customWidth="1"/>
    <col min="2318" max="2318" width="10" style="4" customWidth="1"/>
    <col min="2319" max="2319" width="9" style="4"/>
    <col min="2320" max="2320" width="6" style="4" customWidth="1"/>
    <col min="2321" max="2560" width="9" style="4"/>
    <col min="2561" max="2561" width="3.875" style="4" bestFit="1" customWidth="1"/>
    <col min="2562" max="2566" width="17.375" style="4" customWidth="1"/>
    <col min="2567" max="2569" width="15.625" style="4" customWidth="1"/>
    <col min="2570" max="2570" width="10.75" style="4" customWidth="1"/>
    <col min="2571" max="2572" width="0" style="4" hidden="1" customWidth="1"/>
    <col min="2573" max="2573" width="9.375" style="4" customWidth="1"/>
    <col min="2574" max="2574" width="10" style="4" customWidth="1"/>
    <col min="2575" max="2575" width="9" style="4"/>
    <col min="2576" max="2576" width="6" style="4" customWidth="1"/>
    <col min="2577" max="2816" width="9" style="4"/>
    <col min="2817" max="2817" width="3.875" style="4" bestFit="1" customWidth="1"/>
    <col min="2818" max="2822" width="17.375" style="4" customWidth="1"/>
    <col min="2823" max="2825" width="15.625" style="4" customWidth="1"/>
    <col min="2826" max="2826" width="10.75" style="4" customWidth="1"/>
    <col min="2827" max="2828" width="0" style="4" hidden="1" customWidth="1"/>
    <col min="2829" max="2829" width="9.375" style="4" customWidth="1"/>
    <col min="2830" max="2830" width="10" style="4" customWidth="1"/>
    <col min="2831" max="2831" width="9" style="4"/>
    <col min="2832" max="2832" width="6" style="4" customWidth="1"/>
    <col min="2833" max="3072" width="9" style="4"/>
    <col min="3073" max="3073" width="3.875" style="4" bestFit="1" customWidth="1"/>
    <col min="3074" max="3078" width="17.375" style="4" customWidth="1"/>
    <col min="3079" max="3081" width="15.625" style="4" customWidth="1"/>
    <col min="3082" max="3082" width="10.75" style="4" customWidth="1"/>
    <col min="3083" max="3084" width="0" style="4" hidden="1" customWidth="1"/>
    <col min="3085" max="3085" width="9.375" style="4" customWidth="1"/>
    <col min="3086" max="3086" width="10" style="4" customWidth="1"/>
    <col min="3087" max="3087" width="9" style="4"/>
    <col min="3088" max="3088" width="6" style="4" customWidth="1"/>
    <col min="3089" max="3328" width="9" style="4"/>
    <col min="3329" max="3329" width="3.875" style="4" bestFit="1" customWidth="1"/>
    <col min="3330" max="3334" width="17.375" style="4" customWidth="1"/>
    <col min="3335" max="3337" width="15.625" style="4" customWidth="1"/>
    <col min="3338" max="3338" width="10.75" style="4" customWidth="1"/>
    <col min="3339" max="3340" width="0" style="4" hidden="1" customWidth="1"/>
    <col min="3341" max="3341" width="9.375" style="4" customWidth="1"/>
    <col min="3342" max="3342" width="10" style="4" customWidth="1"/>
    <col min="3343" max="3343" width="9" style="4"/>
    <col min="3344" max="3344" width="6" style="4" customWidth="1"/>
    <col min="3345" max="3584" width="9" style="4"/>
    <col min="3585" max="3585" width="3.875" style="4" bestFit="1" customWidth="1"/>
    <col min="3586" max="3590" width="17.375" style="4" customWidth="1"/>
    <col min="3591" max="3593" width="15.625" style="4" customWidth="1"/>
    <col min="3594" max="3594" width="10.75" style="4" customWidth="1"/>
    <col min="3595" max="3596" width="0" style="4" hidden="1" customWidth="1"/>
    <col min="3597" max="3597" width="9.375" style="4" customWidth="1"/>
    <col min="3598" max="3598" width="10" style="4" customWidth="1"/>
    <col min="3599" max="3599" width="9" style="4"/>
    <col min="3600" max="3600" width="6" style="4" customWidth="1"/>
    <col min="3601" max="3840" width="9" style="4"/>
    <col min="3841" max="3841" width="3.875" style="4" bestFit="1" customWidth="1"/>
    <col min="3842" max="3846" width="17.375" style="4" customWidth="1"/>
    <col min="3847" max="3849" width="15.625" style="4" customWidth="1"/>
    <col min="3850" max="3850" width="10.75" style="4" customWidth="1"/>
    <col min="3851" max="3852" width="0" style="4" hidden="1" customWidth="1"/>
    <col min="3853" max="3853" width="9.375" style="4" customWidth="1"/>
    <col min="3854" max="3854" width="10" style="4" customWidth="1"/>
    <col min="3855" max="3855" width="9" style="4"/>
    <col min="3856" max="3856" width="6" style="4" customWidth="1"/>
    <col min="3857" max="4096" width="9" style="4"/>
    <col min="4097" max="4097" width="3.875" style="4" bestFit="1" customWidth="1"/>
    <col min="4098" max="4102" width="17.375" style="4" customWidth="1"/>
    <col min="4103" max="4105" width="15.625" style="4" customWidth="1"/>
    <col min="4106" max="4106" width="10.75" style="4" customWidth="1"/>
    <col min="4107" max="4108" width="0" style="4" hidden="1" customWidth="1"/>
    <col min="4109" max="4109" width="9.375" style="4" customWidth="1"/>
    <col min="4110" max="4110" width="10" style="4" customWidth="1"/>
    <col min="4111" max="4111" width="9" style="4"/>
    <col min="4112" max="4112" width="6" style="4" customWidth="1"/>
    <col min="4113" max="4352" width="9" style="4"/>
    <col min="4353" max="4353" width="3.875" style="4" bestFit="1" customWidth="1"/>
    <col min="4354" max="4358" width="17.375" style="4" customWidth="1"/>
    <col min="4359" max="4361" width="15.625" style="4" customWidth="1"/>
    <col min="4362" max="4362" width="10.75" style="4" customWidth="1"/>
    <col min="4363" max="4364" width="0" style="4" hidden="1" customWidth="1"/>
    <col min="4365" max="4365" width="9.375" style="4" customWidth="1"/>
    <col min="4366" max="4366" width="10" style="4" customWidth="1"/>
    <col min="4367" max="4367" width="9" style="4"/>
    <col min="4368" max="4368" width="6" style="4" customWidth="1"/>
    <col min="4369" max="4608" width="9" style="4"/>
    <col min="4609" max="4609" width="3.875" style="4" bestFit="1" customWidth="1"/>
    <col min="4610" max="4614" width="17.375" style="4" customWidth="1"/>
    <col min="4615" max="4617" width="15.625" style="4" customWidth="1"/>
    <col min="4618" max="4618" width="10.75" style="4" customWidth="1"/>
    <col min="4619" max="4620" width="0" style="4" hidden="1" customWidth="1"/>
    <col min="4621" max="4621" width="9.375" style="4" customWidth="1"/>
    <col min="4622" max="4622" width="10" style="4" customWidth="1"/>
    <col min="4623" max="4623" width="9" style="4"/>
    <col min="4624" max="4624" width="6" style="4" customWidth="1"/>
    <col min="4625" max="4864" width="9" style="4"/>
    <col min="4865" max="4865" width="3.875" style="4" bestFit="1" customWidth="1"/>
    <col min="4866" max="4870" width="17.375" style="4" customWidth="1"/>
    <col min="4871" max="4873" width="15.625" style="4" customWidth="1"/>
    <col min="4874" max="4874" width="10.75" style="4" customWidth="1"/>
    <col min="4875" max="4876" width="0" style="4" hidden="1" customWidth="1"/>
    <col min="4877" max="4877" width="9.375" style="4" customWidth="1"/>
    <col min="4878" max="4878" width="10" style="4" customWidth="1"/>
    <col min="4879" max="4879" width="9" style="4"/>
    <col min="4880" max="4880" width="6" style="4" customWidth="1"/>
    <col min="4881" max="5120" width="9" style="4"/>
    <col min="5121" max="5121" width="3.875" style="4" bestFit="1" customWidth="1"/>
    <col min="5122" max="5126" width="17.375" style="4" customWidth="1"/>
    <col min="5127" max="5129" width="15.625" style="4" customWidth="1"/>
    <col min="5130" max="5130" width="10.75" style="4" customWidth="1"/>
    <col min="5131" max="5132" width="0" style="4" hidden="1" customWidth="1"/>
    <col min="5133" max="5133" width="9.375" style="4" customWidth="1"/>
    <col min="5134" max="5134" width="10" style="4" customWidth="1"/>
    <col min="5135" max="5135" width="9" style="4"/>
    <col min="5136" max="5136" width="6" style="4" customWidth="1"/>
    <col min="5137" max="5376" width="9" style="4"/>
    <col min="5377" max="5377" width="3.875" style="4" bestFit="1" customWidth="1"/>
    <col min="5378" max="5382" width="17.375" style="4" customWidth="1"/>
    <col min="5383" max="5385" width="15.625" style="4" customWidth="1"/>
    <col min="5386" max="5386" width="10.75" style="4" customWidth="1"/>
    <col min="5387" max="5388" width="0" style="4" hidden="1" customWidth="1"/>
    <col min="5389" max="5389" width="9.375" style="4" customWidth="1"/>
    <col min="5390" max="5390" width="10" style="4" customWidth="1"/>
    <col min="5391" max="5391" width="9" style="4"/>
    <col min="5392" max="5392" width="6" style="4" customWidth="1"/>
    <col min="5393" max="5632" width="9" style="4"/>
    <col min="5633" max="5633" width="3.875" style="4" bestFit="1" customWidth="1"/>
    <col min="5634" max="5638" width="17.375" style="4" customWidth="1"/>
    <col min="5639" max="5641" width="15.625" style="4" customWidth="1"/>
    <col min="5642" max="5642" width="10.75" style="4" customWidth="1"/>
    <col min="5643" max="5644" width="0" style="4" hidden="1" customWidth="1"/>
    <col min="5645" max="5645" width="9.375" style="4" customWidth="1"/>
    <col min="5646" max="5646" width="10" style="4" customWidth="1"/>
    <col min="5647" max="5647" width="9" style="4"/>
    <col min="5648" max="5648" width="6" style="4" customWidth="1"/>
    <col min="5649" max="5888" width="9" style="4"/>
    <col min="5889" max="5889" width="3.875" style="4" bestFit="1" customWidth="1"/>
    <col min="5890" max="5894" width="17.375" style="4" customWidth="1"/>
    <col min="5895" max="5897" width="15.625" style="4" customWidth="1"/>
    <col min="5898" max="5898" width="10.75" style="4" customWidth="1"/>
    <col min="5899" max="5900" width="0" style="4" hidden="1" customWidth="1"/>
    <col min="5901" max="5901" width="9.375" style="4" customWidth="1"/>
    <col min="5902" max="5902" width="10" style="4" customWidth="1"/>
    <col min="5903" max="5903" width="9" style="4"/>
    <col min="5904" max="5904" width="6" style="4" customWidth="1"/>
    <col min="5905" max="6144" width="9" style="4"/>
    <col min="6145" max="6145" width="3.875" style="4" bestFit="1" customWidth="1"/>
    <col min="6146" max="6150" width="17.375" style="4" customWidth="1"/>
    <col min="6151" max="6153" width="15.625" style="4" customWidth="1"/>
    <col min="6154" max="6154" width="10.75" style="4" customWidth="1"/>
    <col min="6155" max="6156" width="0" style="4" hidden="1" customWidth="1"/>
    <col min="6157" max="6157" width="9.375" style="4" customWidth="1"/>
    <col min="6158" max="6158" width="10" style="4" customWidth="1"/>
    <col min="6159" max="6159" width="9" style="4"/>
    <col min="6160" max="6160" width="6" style="4" customWidth="1"/>
    <col min="6161" max="6400" width="9" style="4"/>
    <col min="6401" max="6401" width="3.875" style="4" bestFit="1" customWidth="1"/>
    <col min="6402" max="6406" width="17.375" style="4" customWidth="1"/>
    <col min="6407" max="6409" width="15.625" style="4" customWidth="1"/>
    <col min="6410" max="6410" width="10.75" style="4" customWidth="1"/>
    <col min="6411" max="6412" width="0" style="4" hidden="1" customWidth="1"/>
    <col min="6413" max="6413" width="9.375" style="4" customWidth="1"/>
    <col min="6414" max="6414" width="10" style="4" customWidth="1"/>
    <col min="6415" max="6415" width="9" style="4"/>
    <col min="6416" max="6416" width="6" style="4" customWidth="1"/>
    <col min="6417" max="6656" width="9" style="4"/>
    <col min="6657" max="6657" width="3.875" style="4" bestFit="1" customWidth="1"/>
    <col min="6658" max="6662" width="17.375" style="4" customWidth="1"/>
    <col min="6663" max="6665" width="15.625" style="4" customWidth="1"/>
    <col min="6666" max="6666" width="10.75" style="4" customWidth="1"/>
    <col min="6667" max="6668" width="0" style="4" hidden="1" customWidth="1"/>
    <col min="6669" max="6669" width="9.375" style="4" customWidth="1"/>
    <col min="6670" max="6670" width="10" style="4" customWidth="1"/>
    <col min="6671" max="6671" width="9" style="4"/>
    <col min="6672" max="6672" width="6" style="4" customWidth="1"/>
    <col min="6673" max="6912" width="9" style="4"/>
    <col min="6913" max="6913" width="3.875" style="4" bestFit="1" customWidth="1"/>
    <col min="6914" max="6918" width="17.375" style="4" customWidth="1"/>
    <col min="6919" max="6921" width="15.625" style="4" customWidth="1"/>
    <col min="6922" max="6922" width="10.75" style="4" customWidth="1"/>
    <col min="6923" max="6924" width="0" style="4" hidden="1" customWidth="1"/>
    <col min="6925" max="6925" width="9.375" style="4" customWidth="1"/>
    <col min="6926" max="6926" width="10" style="4" customWidth="1"/>
    <col min="6927" max="6927" width="9" style="4"/>
    <col min="6928" max="6928" width="6" style="4" customWidth="1"/>
    <col min="6929" max="7168" width="9" style="4"/>
    <col min="7169" max="7169" width="3.875" style="4" bestFit="1" customWidth="1"/>
    <col min="7170" max="7174" width="17.375" style="4" customWidth="1"/>
    <col min="7175" max="7177" width="15.625" style="4" customWidth="1"/>
    <col min="7178" max="7178" width="10.75" style="4" customWidth="1"/>
    <col min="7179" max="7180" width="0" style="4" hidden="1" customWidth="1"/>
    <col min="7181" max="7181" width="9.375" style="4" customWidth="1"/>
    <col min="7182" max="7182" width="10" style="4" customWidth="1"/>
    <col min="7183" max="7183" width="9" style="4"/>
    <col min="7184" max="7184" width="6" style="4" customWidth="1"/>
    <col min="7185" max="7424" width="9" style="4"/>
    <col min="7425" max="7425" width="3.875" style="4" bestFit="1" customWidth="1"/>
    <col min="7426" max="7430" width="17.375" style="4" customWidth="1"/>
    <col min="7431" max="7433" width="15.625" style="4" customWidth="1"/>
    <col min="7434" max="7434" width="10.75" style="4" customWidth="1"/>
    <col min="7435" max="7436" width="0" style="4" hidden="1" customWidth="1"/>
    <col min="7437" max="7437" width="9.375" style="4" customWidth="1"/>
    <col min="7438" max="7438" width="10" style="4" customWidth="1"/>
    <col min="7439" max="7439" width="9" style="4"/>
    <col min="7440" max="7440" width="6" style="4" customWidth="1"/>
    <col min="7441" max="7680" width="9" style="4"/>
    <col min="7681" max="7681" width="3.875" style="4" bestFit="1" customWidth="1"/>
    <col min="7682" max="7686" width="17.375" style="4" customWidth="1"/>
    <col min="7687" max="7689" width="15.625" style="4" customWidth="1"/>
    <col min="7690" max="7690" width="10.75" style="4" customWidth="1"/>
    <col min="7691" max="7692" width="0" style="4" hidden="1" customWidth="1"/>
    <col min="7693" max="7693" width="9.375" style="4" customWidth="1"/>
    <col min="7694" max="7694" width="10" style="4" customWidth="1"/>
    <col min="7695" max="7695" width="9" style="4"/>
    <col min="7696" max="7696" width="6" style="4" customWidth="1"/>
    <col min="7697" max="7936" width="9" style="4"/>
    <col min="7937" max="7937" width="3.875" style="4" bestFit="1" customWidth="1"/>
    <col min="7938" max="7942" width="17.375" style="4" customWidth="1"/>
    <col min="7943" max="7945" width="15.625" style="4" customWidth="1"/>
    <col min="7946" max="7946" width="10.75" style="4" customWidth="1"/>
    <col min="7947" max="7948" width="0" style="4" hidden="1" customWidth="1"/>
    <col min="7949" max="7949" width="9.375" style="4" customWidth="1"/>
    <col min="7950" max="7950" width="10" style="4" customWidth="1"/>
    <col min="7951" max="7951" width="9" style="4"/>
    <col min="7952" max="7952" width="6" style="4" customWidth="1"/>
    <col min="7953" max="8192" width="9" style="4"/>
    <col min="8193" max="8193" width="3.875" style="4" bestFit="1" customWidth="1"/>
    <col min="8194" max="8198" width="17.375" style="4" customWidth="1"/>
    <col min="8199" max="8201" width="15.625" style="4" customWidth="1"/>
    <col min="8202" max="8202" width="10.75" style="4" customWidth="1"/>
    <col min="8203" max="8204" width="0" style="4" hidden="1" customWidth="1"/>
    <col min="8205" max="8205" width="9.375" style="4" customWidth="1"/>
    <col min="8206" max="8206" width="10" style="4" customWidth="1"/>
    <col min="8207" max="8207" width="9" style="4"/>
    <col min="8208" max="8208" width="6" style="4" customWidth="1"/>
    <col min="8209" max="8448" width="9" style="4"/>
    <col min="8449" max="8449" width="3.875" style="4" bestFit="1" customWidth="1"/>
    <col min="8450" max="8454" width="17.375" style="4" customWidth="1"/>
    <col min="8455" max="8457" width="15.625" style="4" customWidth="1"/>
    <col min="8458" max="8458" width="10.75" style="4" customWidth="1"/>
    <col min="8459" max="8460" width="0" style="4" hidden="1" customWidth="1"/>
    <col min="8461" max="8461" width="9.375" style="4" customWidth="1"/>
    <col min="8462" max="8462" width="10" style="4" customWidth="1"/>
    <col min="8463" max="8463" width="9" style="4"/>
    <col min="8464" max="8464" width="6" style="4" customWidth="1"/>
    <col min="8465" max="8704" width="9" style="4"/>
    <col min="8705" max="8705" width="3.875" style="4" bestFit="1" customWidth="1"/>
    <col min="8706" max="8710" width="17.375" style="4" customWidth="1"/>
    <col min="8711" max="8713" width="15.625" style="4" customWidth="1"/>
    <col min="8714" max="8714" width="10.75" style="4" customWidth="1"/>
    <col min="8715" max="8716" width="0" style="4" hidden="1" customWidth="1"/>
    <col min="8717" max="8717" width="9.375" style="4" customWidth="1"/>
    <col min="8718" max="8718" width="10" style="4" customWidth="1"/>
    <col min="8719" max="8719" width="9" style="4"/>
    <col min="8720" max="8720" width="6" style="4" customWidth="1"/>
    <col min="8721" max="8960" width="9" style="4"/>
    <col min="8961" max="8961" width="3.875" style="4" bestFit="1" customWidth="1"/>
    <col min="8962" max="8966" width="17.375" style="4" customWidth="1"/>
    <col min="8967" max="8969" width="15.625" style="4" customWidth="1"/>
    <col min="8970" max="8970" width="10.75" style="4" customWidth="1"/>
    <col min="8971" max="8972" width="0" style="4" hidden="1" customWidth="1"/>
    <col min="8973" max="8973" width="9.375" style="4" customWidth="1"/>
    <col min="8974" max="8974" width="10" style="4" customWidth="1"/>
    <col min="8975" max="8975" width="9" style="4"/>
    <col min="8976" max="8976" width="6" style="4" customWidth="1"/>
    <col min="8977" max="9216" width="9" style="4"/>
    <col min="9217" max="9217" width="3.875" style="4" bestFit="1" customWidth="1"/>
    <col min="9218" max="9222" width="17.375" style="4" customWidth="1"/>
    <col min="9223" max="9225" width="15.625" style="4" customWidth="1"/>
    <col min="9226" max="9226" width="10.75" style="4" customWidth="1"/>
    <col min="9227" max="9228" width="0" style="4" hidden="1" customWidth="1"/>
    <col min="9229" max="9229" width="9.375" style="4" customWidth="1"/>
    <col min="9230" max="9230" width="10" style="4" customWidth="1"/>
    <col min="9231" max="9231" width="9" style="4"/>
    <col min="9232" max="9232" width="6" style="4" customWidth="1"/>
    <col min="9233" max="9472" width="9" style="4"/>
    <col min="9473" max="9473" width="3.875" style="4" bestFit="1" customWidth="1"/>
    <col min="9474" max="9478" width="17.375" style="4" customWidth="1"/>
    <col min="9479" max="9481" width="15.625" style="4" customWidth="1"/>
    <col min="9482" max="9482" width="10.75" style="4" customWidth="1"/>
    <col min="9483" max="9484" width="0" style="4" hidden="1" customWidth="1"/>
    <col min="9485" max="9485" width="9.375" style="4" customWidth="1"/>
    <col min="9486" max="9486" width="10" style="4" customWidth="1"/>
    <col min="9487" max="9487" width="9" style="4"/>
    <col min="9488" max="9488" width="6" style="4" customWidth="1"/>
    <col min="9489" max="9728" width="9" style="4"/>
    <col min="9729" max="9729" width="3.875" style="4" bestFit="1" customWidth="1"/>
    <col min="9730" max="9734" width="17.375" style="4" customWidth="1"/>
    <col min="9735" max="9737" width="15.625" style="4" customWidth="1"/>
    <col min="9738" max="9738" width="10.75" style="4" customWidth="1"/>
    <col min="9739" max="9740" width="0" style="4" hidden="1" customWidth="1"/>
    <col min="9741" max="9741" width="9.375" style="4" customWidth="1"/>
    <col min="9742" max="9742" width="10" style="4" customWidth="1"/>
    <col min="9743" max="9743" width="9" style="4"/>
    <col min="9744" max="9744" width="6" style="4" customWidth="1"/>
    <col min="9745" max="9984" width="9" style="4"/>
    <col min="9985" max="9985" width="3.875" style="4" bestFit="1" customWidth="1"/>
    <col min="9986" max="9990" width="17.375" style="4" customWidth="1"/>
    <col min="9991" max="9993" width="15.625" style="4" customWidth="1"/>
    <col min="9994" max="9994" width="10.75" style="4" customWidth="1"/>
    <col min="9995" max="9996" width="0" style="4" hidden="1" customWidth="1"/>
    <col min="9997" max="9997" width="9.375" style="4" customWidth="1"/>
    <col min="9998" max="9998" width="10" style="4" customWidth="1"/>
    <col min="9999" max="9999" width="9" style="4"/>
    <col min="10000" max="10000" width="6" style="4" customWidth="1"/>
    <col min="10001" max="10240" width="9" style="4"/>
    <col min="10241" max="10241" width="3.875" style="4" bestFit="1" customWidth="1"/>
    <col min="10242" max="10246" width="17.375" style="4" customWidth="1"/>
    <col min="10247" max="10249" width="15.625" style="4" customWidth="1"/>
    <col min="10250" max="10250" width="10.75" style="4" customWidth="1"/>
    <col min="10251" max="10252" width="0" style="4" hidden="1" customWidth="1"/>
    <col min="10253" max="10253" width="9.375" style="4" customWidth="1"/>
    <col min="10254" max="10254" width="10" style="4" customWidth="1"/>
    <col min="10255" max="10255" width="9" style="4"/>
    <col min="10256" max="10256" width="6" style="4" customWidth="1"/>
    <col min="10257" max="10496" width="9" style="4"/>
    <col min="10497" max="10497" width="3.875" style="4" bestFit="1" customWidth="1"/>
    <col min="10498" max="10502" width="17.375" style="4" customWidth="1"/>
    <col min="10503" max="10505" width="15.625" style="4" customWidth="1"/>
    <col min="10506" max="10506" width="10.75" style="4" customWidth="1"/>
    <col min="10507" max="10508" width="0" style="4" hidden="1" customWidth="1"/>
    <col min="10509" max="10509" width="9.375" style="4" customWidth="1"/>
    <col min="10510" max="10510" width="10" style="4" customWidth="1"/>
    <col min="10511" max="10511" width="9" style="4"/>
    <col min="10512" max="10512" width="6" style="4" customWidth="1"/>
    <col min="10513" max="10752" width="9" style="4"/>
    <col min="10753" max="10753" width="3.875" style="4" bestFit="1" customWidth="1"/>
    <col min="10754" max="10758" width="17.375" style="4" customWidth="1"/>
    <col min="10759" max="10761" width="15.625" style="4" customWidth="1"/>
    <col min="10762" max="10762" width="10.75" style="4" customWidth="1"/>
    <col min="10763" max="10764" width="0" style="4" hidden="1" customWidth="1"/>
    <col min="10765" max="10765" width="9.375" style="4" customWidth="1"/>
    <col min="10766" max="10766" width="10" style="4" customWidth="1"/>
    <col min="10767" max="10767" width="9" style="4"/>
    <col min="10768" max="10768" width="6" style="4" customWidth="1"/>
    <col min="10769" max="11008" width="9" style="4"/>
    <col min="11009" max="11009" width="3.875" style="4" bestFit="1" customWidth="1"/>
    <col min="11010" max="11014" width="17.375" style="4" customWidth="1"/>
    <col min="11015" max="11017" width="15.625" style="4" customWidth="1"/>
    <col min="11018" max="11018" width="10.75" style="4" customWidth="1"/>
    <col min="11019" max="11020" width="0" style="4" hidden="1" customWidth="1"/>
    <col min="11021" max="11021" width="9.375" style="4" customWidth="1"/>
    <col min="11022" max="11022" width="10" style="4" customWidth="1"/>
    <col min="11023" max="11023" width="9" style="4"/>
    <col min="11024" max="11024" width="6" style="4" customWidth="1"/>
    <col min="11025" max="11264" width="9" style="4"/>
    <col min="11265" max="11265" width="3.875" style="4" bestFit="1" customWidth="1"/>
    <col min="11266" max="11270" width="17.375" style="4" customWidth="1"/>
    <col min="11271" max="11273" width="15.625" style="4" customWidth="1"/>
    <col min="11274" max="11274" width="10.75" style="4" customWidth="1"/>
    <col min="11275" max="11276" width="0" style="4" hidden="1" customWidth="1"/>
    <col min="11277" max="11277" width="9.375" style="4" customWidth="1"/>
    <col min="11278" max="11278" width="10" style="4" customWidth="1"/>
    <col min="11279" max="11279" width="9" style="4"/>
    <col min="11280" max="11280" width="6" style="4" customWidth="1"/>
    <col min="11281" max="11520" width="9" style="4"/>
    <col min="11521" max="11521" width="3.875" style="4" bestFit="1" customWidth="1"/>
    <col min="11522" max="11526" width="17.375" style="4" customWidth="1"/>
    <col min="11527" max="11529" width="15.625" style="4" customWidth="1"/>
    <col min="11530" max="11530" width="10.75" style="4" customWidth="1"/>
    <col min="11531" max="11532" width="0" style="4" hidden="1" customWidth="1"/>
    <col min="11533" max="11533" width="9.375" style="4" customWidth="1"/>
    <col min="11534" max="11534" width="10" style="4" customWidth="1"/>
    <col min="11535" max="11535" width="9" style="4"/>
    <col min="11536" max="11536" width="6" style="4" customWidth="1"/>
    <col min="11537" max="11776" width="9" style="4"/>
    <col min="11777" max="11777" width="3.875" style="4" bestFit="1" customWidth="1"/>
    <col min="11778" max="11782" width="17.375" style="4" customWidth="1"/>
    <col min="11783" max="11785" width="15.625" style="4" customWidth="1"/>
    <col min="11786" max="11786" width="10.75" style="4" customWidth="1"/>
    <col min="11787" max="11788" width="0" style="4" hidden="1" customWidth="1"/>
    <col min="11789" max="11789" width="9.375" style="4" customWidth="1"/>
    <col min="11790" max="11790" width="10" style="4" customWidth="1"/>
    <col min="11791" max="11791" width="9" style="4"/>
    <col min="11792" max="11792" width="6" style="4" customWidth="1"/>
    <col min="11793" max="12032" width="9" style="4"/>
    <col min="12033" max="12033" width="3.875" style="4" bestFit="1" customWidth="1"/>
    <col min="12034" max="12038" width="17.375" style="4" customWidth="1"/>
    <col min="12039" max="12041" width="15.625" style="4" customWidth="1"/>
    <col min="12042" max="12042" width="10.75" style="4" customWidth="1"/>
    <col min="12043" max="12044" width="0" style="4" hidden="1" customWidth="1"/>
    <col min="12045" max="12045" width="9.375" style="4" customWidth="1"/>
    <col min="12046" max="12046" width="10" style="4" customWidth="1"/>
    <col min="12047" max="12047" width="9" style="4"/>
    <col min="12048" max="12048" width="6" style="4" customWidth="1"/>
    <col min="12049" max="12288" width="9" style="4"/>
    <col min="12289" max="12289" width="3.875" style="4" bestFit="1" customWidth="1"/>
    <col min="12290" max="12294" width="17.375" style="4" customWidth="1"/>
    <col min="12295" max="12297" width="15.625" style="4" customWidth="1"/>
    <col min="12298" max="12298" width="10.75" style="4" customWidth="1"/>
    <col min="12299" max="12300" width="0" style="4" hidden="1" customWidth="1"/>
    <col min="12301" max="12301" width="9.375" style="4" customWidth="1"/>
    <col min="12302" max="12302" width="10" style="4" customWidth="1"/>
    <col min="12303" max="12303" width="9" style="4"/>
    <col min="12304" max="12304" width="6" style="4" customWidth="1"/>
    <col min="12305" max="12544" width="9" style="4"/>
    <col min="12545" max="12545" width="3.875" style="4" bestFit="1" customWidth="1"/>
    <col min="12546" max="12550" width="17.375" style="4" customWidth="1"/>
    <col min="12551" max="12553" width="15.625" style="4" customWidth="1"/>
    <col min="12554" max="12554" width="10.75" style="4" customWidth="1"/>
    <col min="12555" max="12556" width="0" style="4" hidden="1" customWidth="1"/>
    <col min="12557" max="12557" width="9.375" style="4" customWidth="1"/>
    <col min="12558" max="12558" width="10" style="4" customWidth="1"/>
    <col min="12559" max="12559" width="9" style="4"/>
    <col min="12560" max="12560" width="6" style="4" customWidth="1"/>
    <col min="12561" max="12800" width="9" style="4"/>
    <col min="12801" max="12801" width="3.875" style="4" bestFit="1" customWidth="1"/>
    <col min="12802" max="12806" width="17.375" style="4" customWidth="1"/>
    <col min="12807" max="12809" width="15.625" style="4" customWidth="1"/>
    <col min="12810" max="12810" width="10.75" style="4" customWidth="1"/>
    <col min="12811" max="12812" width="0" style="4" hidden="1" customWidth="1"/>
    <col min="12813" max="12813" width="9.375" style="4" customWidth="1"/>
    <col min="12814" max="12814" width="10" style="4" customWidth="1"/>
    <col min="12815" max="12815" width="9" style="4"/>
    <col min="12816" max="12816" width="6" style="4" customWidth="1"/>
    <col min="12817" max="13056" width="9" style="4"/>
    <col min="13057" max="13057" width="3.875" style="4" bestFit="1" customWidth="1"/>
    <col min="13058" max="13062" width="17.375" style="4" customWidth="1"/>
    <col min="13063" max="13065" width="15.625" style="4" customWidth="1"/>
    <col min="13066" max="13066" width="10.75" style="4" customWidth="1"/>
    <col min="13067" max="13068" width="0" style="4" hidden="1" customWidth="1"/>
    <col min="13069" max="13069" width="9.375" style="4" customWidth="1"/>
    <col min="13070" max="13070" width="10" style="4" customWidth="1"/>
    <col min="13071" max="13071" width="9" style="4"/>
    <col min="13072" max="13072" width="6" style="4" customWidth="1"/>
    <col min="13073" max="13312" width="9" style="4"/>
    <col min="13313" max="13313" width="3.875" style="4" bestFit="1" customWidth="1"/>
    <col min="13314" max="13318" width="17.375" style="4" customWidth="1"/>
    <col min="13319" max="13321" width="15.625" style="4" customWidth="1"/>
    <col min="13322" max="13322" width="10.75" style="4" customWidth="1"/>
    <col min="13323" max="13324" width="0" style="4" hidden="1" customWidth="1"/>
    <col min="13325" max="13325" width="9.375" style="4" customWidth="1"/>
    <col min="13326" max="13326" width="10" style="4" customWidth="1"/>
    <col min="13327" max="13327" width="9" style="4"/>
    <col min="13328" max="13328" width="6" style="4" customWidth="1"/>
    <col min="13329" max="13568" width="9" style="4"/>
    <col min="13569" max="13569" width="3.875" style="4" bestFit="1" customWidth="1"/>
    <col min="13570" max="13574" width="17.375" style="4" customWidth="1"/>
    <col min="13575" max="13577" width="15.625" style="4" customWidth="1"/>
    <col min="13578" max="13578" width="10.75" style="4" customWidth="1"/>
    <col min="13579" max="13580" width="0" style="4" hidden="1" customWidth="1"/>
    <col min="13581" max="13581" width="9.375" style="4" customWidth="1"/>
    <col min="13582" max="13582" width="10" style="4" customWidth="1"/>
    <col min="13583" max="13583" width="9" style="4"/>
    <col min="13584" max="13584" width="6" style="4" customWidth="1"/>
    <col min="13585" max="13824" width="9" style="4"/>
    <col min="13825" max="13825" width="3.875" style="4" bestFit="1" customWidth="1"/>
    <col min="13826" max="13830" width="17.375" style="4" customWidth="1"/>
    <col min="13831" max="13833" width="15.625" style="4" customWidth="1"/>
    <col min="13834" max="13834" width="10.75" style="4" customWidth="1"/>
    <col min="13835" max="13836" width="0" style="4" hidden="1" customWidth="1"/>
    <col min="13837" max="13837" width="9.375" style="4" customWidth="1"/>
    <col min="13838" max="13838" width="10" style="4" customWidth="1"/>
    <col min="13839" max="13839" width="9" style="4"/>
    <col min="13840" max="13840" width="6" style="4" customWidth="1"/>
    <col min="13841" max="14080" width="9" style="4"/>
    <col min="14081" max="14081" width="3.875" style="4" bestFit="1" customWidth="1"/>
    <col min="14082" max="14086" width="17.375" style="4" customWidth="1"/>
    <col min="14087" max="14089" width="15.625" style="4" customWidth="1"/>
    <col min="14090" max="14090" width="10.75" style="4" customWidth="1"/>
    <col min="14091" max="14092" width="0" style="4" hidden="1" customWidth="1"/>
    <col min="14093" max="14093" width="9.375" style="4" customWidth="1"/>
    <col min="14094" max="14094" width="10" style="4" customWidth="1"/>
    <col min="14095" max="14095" width="9" style="4"/>
    <col min="14096" max="14096" width="6" style="4" customWidth="1"/>
    <col min="14097" max="14336" width="9" style="4"/>
    <col min="14337" max="14337" width="3.875" style="4" bestFit="1" customWidth="1"/>
    <col min="14338" max="14342" width="17.375" style="4" customWidth="1"/>
    <col min="14343" max="14345" width="15.625" style="4" customWidth="1"/>
    <col min="14346" max="14346" width="10.75" style="4" customWidth="1"/>
    <col min="14347" max="14348" width="0" style="4" hidden="1" customWidth="1"/>
    <col min="14349" max="14349" width="9.375" style="4" customWidth="1"/>
    <col min="14350" max="14350" width="10" style="4" customWidth="1"/>
    <col min="14351" max="14351" width="9" style="4"/>
    <col min="14352" max="14352" width="6" style="4" customWidth="1"/>
    <col min="14353" max="14592" width="9" style="4"/>
    <col min="14593" max="14593" width="3.875" style="4" bestFit="1" customWidth="1"/>
    <col min="14594" max="14598" width="17.375" style="4" customWidth="1"/>
    <col min="14599" max="14601" width="15.625" style="4" customWidth="1"/>
    <col min="14602" max="14602" width="10.75" style="4" customWidth="1"/>
    <col min="14603" max="14604" width="0" style="4" hidden="1" customWidth="1"/>
    <col min="14605" max="14605" width="9.375" style="4" customWidth="1"/>
    <col min="14606" max="14606" width="10" style="4" customWidth="1"/>
    <col min="14607" max="14607" width="9" style="4"/>
    <col min="14608" max="14608" width="6" style="4" customWidth="1"/>
    <col min="14609" max="14848" width="9" style="4"/>
    <col min="14849" max="14849" width="3.875" style="4" bestFit="1" customWidth="1"/>
    <col min="14850" max="14854" width="17.375" style="4" customWidth="1"/>
    <col min="14855" max="14857" width="15.625" style="4" customWidth="1"/>
    <col min="14858" max="14858" width="10.75" style="4" customWidth="1"/>
    <col min="14859" max="14860" width="0" style="4" hidden="1" customWidth="1"/>
    <col min="14861" max="14861" width="9.375" style="4" customWidth="1"/>
    <col min="14862" max="14862" width="10" style="4" customWidth="1"/>
    <col min="14863" max="14863" width="9" style="4"/>
    <col min="14864" max="14864" width="6" style="4" customWidth="1"/>
    <col min="14865" max="15104" width="9" style="4"/>
    <col min="15105" max="15105" width="3.875" style="4" bestFit="1" customWidth="1"/>
    <col min="15106" max="15110" width="17.375" style="4" customWidth="1"/>
    <col min="15111" max="15113" width="15.625" style="4" customWidth="1"/>
    <col min="15114" max="15114" width="10.75" style="4" customWidth="1"/>
    <col min="15115" max="15116" width="0" style="4" hidden="1" customWidth="1"/>
    <col min="15117" max="15117" width="9.375" style="4" customWidth="1"/>
    <col min="15118" max="15118" width="10" style="4" customWidth="1"/>
    <col min="15119" max="15119" width="9" style="4"/>
    <col min="15120" max="15120" width="6" style="4" customWidth="1"/>
    <col min="15121" max="15360" width="9" style="4"/>
    <col min="15361" max="15361" width="3.875" style="4" bestFit="1" customWidth="1"/>
    <col min="15362" max="15366" width="17.375" style="4" customWidth="1"/>
    <col min="15367" max="15369" width="15.625" style="4" customWidth="1"/>
    <col min="15370" max="15370" width="10.75" style="4" customWidth="1"/>
    <col min="15371" max="15372" width="0" style="4" hidden="1" customWidth="1"/>
    <col min="15373" max="15373" width="9.375" style="4" customWidth="1"/>
    <col min="15374" max="15374" width="10" style="4" customWidth="1"/>
    <col min="15375" max="15375" width="9" style="4"/>
    <col min="15376" max="15376" width="6" style="4" customWidth="1"/>
    <col min="15377" max="15616" width="9" style="4"/>
    <col min="15617" max="15617" width="3.875" style="4" bestFit="1" customWidth="1"/>
    <col min="15618" max="15622" width="17.375" style="4" customWidth="1"/>
    <col min="15623" max="15625" width="15.625" style="4" customWidth="1"/>
    <col min="15626" max="15626" width="10.75" style="4" customWidth="1"/>
    <col min="15627" max="15628" width="0" style="4" hidden="1" customWidth="1"/>
    <col min="15629" max="15629" width="9.375" style="4" customWidth="1"/>
    <col min="15630" max="15630" width="10" style="4" customWidth="1"/>
    <col min="15631" max="15631" width="9" style="4"/>
    <col min="15632" max="15632" width="6" style="4" customWidth="1"/>
    <col min="15633" max="15872" width="9" style="4"/>
    <col min="15873" max="15873" width="3.875" style="4" bestFit="1" customWidth="1"/>
    <col min="15874" max="15878" width="17.375" style="4" customWidth="1"/>
    <col min="15879" max="15881" width="15.625" style="4" customWidth="1"/>
    <col min="15882" max="15882" width="10.75" style="4" customWidth="1"/>
    <col min="15883" max="15884" width="0" style="4" hidden="1" customWidth="1"/>
    <col min="15885" max="15885" width="9.375" style="4" customWidth="1"/>
    <col min="15886" max="15886" width="10" style="4" customWidth="1"/>
    <col min="15887" max="15887" width="9" style="4"/>
    <col min="15888" max="15888" width="6" style="4" customWidth="1"/>
    <col min="15889" max="16128" width="9" style="4"/>
    <col min="16129" max="16129" width="3.875" style="4" bestFit="1" customWidth="1"/>
    <col min="16130" max="16134" width="17.375" style="4" customWidth="1"/>
    <col min="16135" max="16137" width="15.625" style="4" customWidth="1"/>
    <col min="16138" max="16138" width="10.75" style="4" customWidth="1"/>
    <col min="16139" max="16140" width="0" style="4" hidden="1" customWidth="1"/>
    <col min="16141" max="16141" width="9.375" style="4" customWidth="1"/>
    <col min="16142" max="16142" width="10" style="4" customWidth="1"/>
    <col min="16143" max="16143" width="9" style="4"/>
    <col min="16144" max="16144" width="6" style="4" customWidth="1"/>
    <col min="16145" max="16384" width="9" style="4"/>
  </cols>
  <sheetData>
    <row r="1" spans="1:13" ht="35.25" x14ac:dyDescent="0.4">
      <c r="B1" s="152" t="s">
        <v>132</v>
      </c>
      <c r="C1" s="152"/>
      <c r="D1" s="152"/>
      <c r="E1" s="152"/>
    </row>
    <row r="2" spans="1:13" ht="7.5" customHeight="1" x14ac:dyDescent="0.4"/>
    <row r="3" spans="1:13" ht="22.5" customHeight="1" x14ac:dyDescent="0.4">
      <c r="A3" s="5" t="s">
        <v>0</v>
      </c>
      <c r="B3" s="6" t="s">
        <v>1</v>
      </c>
      <c r="C3" s="7"/>
      <c r="D3" s="7"/>
      <c r="E3" s="7"/>
      <c r="F3" s="7"/>
      <c r="G3" s="7"/>
      <c r="H3" s="7"/>
      <c r="I3" s="7"/>
      <c r="J3" s="7"/>
    </row>
    <row r="4" spans="1:13" ht="26.25" customHeight="1" x14ac:dyDescent="0.4">
      <c r="A4" s="8"/>
      <c r="B4" s="9"/>
      <c r="C4" s="10" t="s">
        <v>2</v>
      </c>
      <c r="D4" s="10" t="s">
        <v>3</v>
      </c>
      <c r="E4" s="10" t="s">
        <v>4</v>
      </c>
      <c r="F4" s="10" t="s">
        <v>5</v>
      </c>
      <c r="G4" s="10" t="s">
        <v>6</v>
      </c>
      <c r="H4" s="11" t="s">
        <v>7</v>
      </c>
      <c r="I4" s="10" t="s">
        <v>8</v>
      </c>
      <c r="K4" s="12" t="s">
        <v>9</v>
      </c>
      <c r="L4" s="12" t="s">
        <v>10</v>
      </c>
      <c r="M4" s="12" t="s">
        <v>11</v>
      </c>
    </row>
    <row r="5" spans="1:13" ht="26.25" customHeight="1" x14ac:dyDescent="0.4">
      <c r="A5" s="8"/>
      <c r="B5" s="9">
        <v>1</v>
      </c>
      <c r="C5" s="13"/>
      <c r="D5" s="14"/>
      <c r="E5" s="15"/>
      <c r="F5" s="15"/>
      <c r="G5" s="16"/>
      <c r="H5" s="17">
        <f t="shared" ref="H5:H12" si="0">IF(AND(E5&lt;&gt;"",F5&lt;&gt;""),MAX(MIN(E5,100000)+MIN(F5,100000)-100000,0),0)</f>
        <v>0</v>
      </c>
      <c r="I5" s="18">
        <f t="shared" ref="I5:I12" si="1">IFERROR(IF(E5+F5+G5-H5&gt;0,E5+F5+G5-H5,0),"")</f>
        <v>0</v>
      </c>
      <c r="J5" s="19" t="str">
        <f t="shared" ref="J5:J12" si="2">IF(COUNTA(C5:G5)=0,"",((IF(AND(C5&lt;&gt;"",D5&lt;&gt;""),"OK","すべて入力してください"))))</f>
        <v/>
      </c>
      <c r="K5" s="20" t="str">
        <f t="shared" ref="K5:K12" si="3">IF(C5="","",IF((I5-430000)&lt;0,0,IF(I5&lt;=24000000,I5-430000,IF(AND(I5&gt;24000000,I5&lt;=24500000),I5-290000,IF(AND(I5&gt;24500000,I5&lt;=25000000),I5-150000,I5)))))</f>
        <v/>
      </c>
      <c r="L5" s="12" t="str">
        <f t="shared" ref="L5:L12" si="4">IF(D5="","",IF(AND(D5&gt;=40,D5&lt;65),"該当","非該当"))</f>
        <v/>
      </c>
      <c r="M5" s="21">
        <f>IF(AND(D5&gt;=65,F5&gt;0),MIN(F5,150000),0)</f>
        <v>0</v>
      </c>
    </row>
    <row r="6" spans="1:13" ht="26.25" customHeight="1" x14ac:dyDescent="0.4">
      <c r="A6" s="8"/>
      <c r="B6" s="9">
        <v>2</v>
      </c>
      <c r="C6" s="13"/>
      <c r="D6" s="14"/>
      <c r="E6" s="15"/>
      <c r="F6" s="15"/>
      <c r="G6" s="16"/>
      <c r="H6" s="17">
        <f t="shared" si="0"/>
        <v>0</v>
      </c>
      <c r="I6" s="18">
        <f t="shared" si="1"/>
        <v>0</v>
      </c>
      <c r="J6" s="19" t="str">
        <f t="shared" si="2"/>
        <v/>
      </c>
      <c r="K6" s="20" t="str">
        <f t="shared" si="3"/>
        <v/>
      </c>
      <c r="L6" s="12" t="str">
        <f t="shared" si="4"/>
        <v/>
      </c>
      <c r="M6" s="21">
        <f>IF(AND(D6&gt;=65,F6&gt;0),MIN(F6,150000),0)</f>
        <v>0</v>
      </c>
    </row>
    <row r="7" spans="1:13" ht="26.25" customHeight="1" x14ac:dyDescent="0.4">
      <c r="A7" s="8"/>
      <c r="B7" s="9">
        <v>3</v>
      </c>
      <c r="C7" s="13"/>
      <c r="D7" s="14"/>
      <c r="E7" s="15"/>
      <c r="F7" s="15"/>
      <c r="G7" s="16"/>
      <c r="H7" s="17">
        <f t="shared" si="0"/>
        <v>0</v>
      </c>
      <c r="I7" s="18">
        <f t="shared" si="1"/>
        <v>0</v>
      </c>
      <c r="J7" s="19" t="str">
        <f t="shared" si="2"/>
        <v/>
      </c>
      <c r="K7" s="20" t="str">
        <f t="shared" si="3"/>
        <v/>
      </c>
      <c r="L7" s="12" t="str">
        <f t="shared" si="4"/>
        <v/>
      </c>
      <c r="M7" s="21">
        <f t="shared" ref="M7:M12" si="5">IF(AND(D7&gt;65,F7&gt;0),MIN(F7,150000),0)</f>
        <v>0</v>
      </c>
    </row>
    <row r="8" spans="1:13" ht="26.25" customHeight="1" x14ac:dyDescent="0.4">
      <c r="A8" s="8"/>
      <c r="B8" s="9">
        <v>4</v>
      </c>
      <c r="C8" s="13"/>
      <c r="D8" s="14"/>
      <c r="E8" s="15"/>
      <c r="F8" s="15"/>
      <c r="G8" s="16"/>
      <c r="H8" s="17">
        <f t="shared" si="0"/>
        <v>0</v>
      </c>
      <c r="I8" s="18">
        <f t="shared" si="1"/>
        <v>0</v>
      </c>
      <c r="J8" s="19" t="str">
        <f t="shared" si="2"/>
        <v/>
      </c>
      <c r="K8" s="20" t="str">
        <f t="shared" si="3"/>
        <v/>
      </c>
      <c r="L8" s="12" t="str">
        <f t="shared" si="4"/>
        <v/>
      </c>
      <c r="M8" s="21">
        <f t="shared" si="5"/>
        <v>0</v>
      </c>
    </row>
    <row r="9" spans="1:13" ht="26.25" customHeight="1" x14ac:dyDescent="0.4">
      <c r="A9" s="8"/>
      <c r="B9" s="9">
        <v>5</v>
      </c>
      <c r="C9" s="13"/>
      <c r="D9" s="14"/>
      <c r="E9" s="15"/>
      <c r="F9" s="15"/>
      <c r="G9" s="16"/>
      <c r="H9" s="17">
        <f t="shared" si="0"/>
        <v>0</v>
      </c>
      <c r="I9" s="18">
        <f t="shared" si="1"/>
        <v>0</v>
      </c>
      <c r="J9" s="19" t="str">
        <f t="shared" si="2"/>
        <v/>
      </c>
      <c r="K9" s="20" t="str">
        <f t="shared" si="3"/>
        <v/>
      </c>
      <c r="L9" s="12" t="str">
        <f t="shared" si="4"/>
        <v/>
      </c>
      <c r="M9" s="21">
        <f t="shared" si="5"/>
        <v>0</v>
      </c>
    </row>
    <row r="10" spans="1:13" ht="26.25" customHeight="1" x14ac:dyDescent="0.4">
      <c r="A10" s="8"/>
      <c r="B10" s="9">
        <v>6</v>
      </c>
      <c r="C10" s="13"/>
      <c r="D10" s="14"/>
      <c r="E10" s="15"/>
      <c r="F10" s="15"/>
      <c r="G10" s="16"/>
      <c r="H10" s="17">
        <f t="shared" si="0"/>
        <v>0</v>
      </c>
      <c r="I10" s="18">
        <f t="shared" si="1"/>
        <v>0</v>
      </c>
      <c r="J10" s="19" t="str">
        <f t="shared" si="2"/>
        <v/>
      </c>
      <c r="K10" s="20" t="str">
        <f t="shared" si="3"/>
        <v/>
      </c>
      <c r="L10" s="12" t="str">
        <f t="shared" si="4"/>
        <v/>
      </c>
      <c r="M10" s="21">
        <f t="shared" si="5"/>
        <v>0</v>
      </c>
    </row>
    <row r="11" spans="1:13" ht="26.25" customHeight="1" x14ac:dyDescent="0.4">
      <c r="A11" s="8"/>
      <c r="B11" s="9">
        <v>7</v>
      </c>
      <c r="C11" s="13"/>
      <c r="D11" s="14"/>
      <c r="E11" s="15"/>
      <c r="F11" s="22"/>
      <c r="G11" s="16"/>
      <c r="H11" s="17">
        <f t="shared" si="0"/>
        <v>0</v>
      </c>
      <c r="I11" s="18">
        <f t="shared" si="1"/>
        <v>0</v>
      </c>
      <c r="J11" s="19" t="str">
        <f t="shared" si="2"/>
        <v/>
      </c>
      <c r="K11" s="20" t="str">
        <f t="shared" si="3"/>
        <v/>
      </c>
      <c r="L11" s="12" t="str">
        <f t="shared" si="4"/>
        <v/>
      </c>
      <c r="M11" s="21">
        <f t="shared" si="5"/>
        <v>0</v>
      </c>
    </row>
    <row r="12" spans="1:13" ht="26.25" customHeight="1" x14ac:dyDescent="0.4">
      <c r="A12" s="8"/>
      <c r="B12" s="9">
        <v>8</v>
      </c>
      <c r="C12" s="13"/>
      <c r="D12" s="14"/>
      <c r="E12" s="15"/>
      <c r="F12" s="15"/>
      <c r="G12" s="16"/>
      <c r="H12" s="17">
        <f t="shared" si="0"/>
        <v>0</v>
      </c>
      <c r="I12" s="18">
        <f t="shared" si="1"/>
        <v>0</v>
      </c>
      <c r="J12" s="19" t="str">
        <f t="shared" si="2"/>
        <v/>
      </c>
      <c r="K12" s="20" t="str">
        <f t="shared" si="3"/>
        <v/>
      </c>
      <c r="L12" s="12" t="str">
        <f t="shared" si="4"/>
        <v/>
      </c>
      <c r="M12" s="21">
        <f t="shared" si="5"/>
        <v>0</v>
      </c>
    </row>
    <row r="13" spans="1:13" ht="7.5" customHeight="1" x14ac:dyDescent="0.4">
      <c r="A13" s="8"/>
      <c r="B13" s="7"/>
      <c r="C13" s="7"/>
      <c r="D13" s="7"/>
      <c r="E13" s="7"/>
      <c r="F13" s="7"/>
      <c r="G13" s="7"/>
      <c r="H13" s="7"/>
      <c r="I13" s="7"/>
      <c r="J13" s="7"/>
    </row>
    <row r="14" spans="1:13" ht="22.5" customHeight="1" x14ac:dyDescent="0.4">
      <c r="A14" s="5" t="s">
        <v>12</v>
      </c>
      <c r="B14" s="6" t="s">
        <v>13</v>
      </c>
      <c r="C14" s="7"/>
      <c r="D14" s="7"/>
      <c r="E14" s="7"/>
      <c r="F14" s="7"/>
      <c r="G14" s="7"/>
      <c r="H14" s="7"/>
      <c r="I14" s="7"/>
      <c r="J14" s="7"/>
      <c r="K14" s="23"/>
      <c r="L14" s="23"/>
    </row>
    <row r="15" spans="1:13" ht="22.5" customHeight="1" x14ac:dyDescent="0.4">
      <c r="A15" s="8"/>
      <c r="B15" s="24">
        <v>1</v>
      </c>
      <c r="C15" s="19" t="str">
        <f>IF(AND(F5="OK",B15=""),"入力してください",(IF(B15=1,"「はい」　算定結果を確認してください",IF(B15=2,"「いいえ」　Q３を入力してください",""))))</f>
        <v>「はい」　算定結果を確認してください</v>
      </c>
      <c r="D15" s="7"/>
      <c r="E15" s="7"/>
      <c r="F15" s="7"/>
      <c r="G15" s="7"/>
      <c r="H15" s="7"/>
      <c r="I15" s="7"/>
      <c r="J15" s="7"/>
      <c r="K15" s="23"/>
      <c r="L15" s="23"/>
    </row>
    <row r="16" spans="1:13" ht="19.5" x14ac:dyDescent="0.4">
      <c r="A16" s="8"/>
      <c r="B16" s="7"/>
      <c r="C16" s="7"/>
      <c r="D16" s="7"/>
      <c r="E16" s="7"/>
      <c r="F16" s="7"/>
      <c r="G16" s="7"/>
      <c r="H16" s="7"/>
      <c r="I16" s="7"/>
      <c r="J16" s="7"/>
      <c r="K16" s="23"/>
      <c r="L16" s="23"/>
    </row>
    <row r="17" spans="1:13" ht="22.5" customHeight="1" x14ac:dyDescent="0.4">
      <c r="A17" s="5" t="s">
        <v>14</v>
      </c>
      <c r="B17" s="6" t="s">
        <v>15</v>
      </c>
      <c r="C17" s="7"/>
      <c r="D17" s="7"/>
      <c r="E17" s="7"/>
      <c r="F17" s="7"/>
    </row>
    <row r="18" spans="1:13" ht="22.5" customHeight="1" x14ac:dyDescent="0.4">
      <c r="A18" s="7"/>
      <c r="B18" s="9" t="s">
        <v>16</v>
      </c>
      <c r="C18" s="25"/>
      <c r="D18" s="26"/>
      <c r="E18" s="19" t="str">
        <f>IF(B15="","",IF(B15=1,"入力しないでください",IF(D18&lt;&gt;"","算定結果を確認してください","入力してください")))</f>
        <v>入力しないでください</v>
      </c>
      <c r="F18" s="7"/>
      <c r="G18" s="27" t="str">
        <f>IF(AND(OR(C18="給与",C18="年金(65歳以上)",C18="年金(65歳未満)"),D18&gt;0),1,"0")</f>
        <v>0</v>
      </c>
      <c r="M18" s="12">
        <f>IF(AND(C18="年金(65歳以上)",D18&gt;0),MIN(D18,150000),0)</f>
        <v>0</v>
      </c>
    </row>
    <row r="19" spans="1:13" ht="13.5" customHeight="1" x14ac:dyDescent="0.4">
      <c r="A19" s="7"/>
      <c r="B19" s="7"/>
      <c r="C19" s="7"/>
      <c r="D19" s="7"/>
      <c r="E19" s="7"/>
      <c r="M19" s="28">
        <f>SUM(M5:M12)+M18</f>
        <v>0</v>
      </c>
    </row>
    <row r="20" spans="1:13" ht="13.5" customHeight="1" thickBot="1" x14ac:dyDescent="0.45">
      <c r="A20" s="7"/>
      <c r="B20" s="7"/>
      <c r="C20" s="7"/>
      <c r="D20" s="7"/>
      <c r="E20" s="7"/>
      <c r="F20" s="7"/>
    </row>
    <row r="21" spans="1:13" ht="28.5" x14ac:dyDescent="0.4">
      <c r="A21" s="29"/>
      <c r="B21" s="30" t="s">
        <v>17</v>
      </c>
      <c r="C21" s="31"/>
      <c r="D21" s="31"/>
      <c r="E21" s="31"/>
      <c r="F21" s="31"/>
      <c r="G21" s="32"/>
      <c r="H21" s="32"/>
      <c r="I21" s="32"/>
      <c r="J21" s="33"/>
    </row>
    <row r="22" spans="1:13" ht="26.25" customHeight="1" x14ac:dyDescent="0.4">
      <c r="A22" s="34"/>
      <c r="B22" s="1" t="s">
        <v>18</v>
      </c>
      <c r="C22" s="2">
        <f>IF(COUNTA(I5:I12)=0,"",SUM(I5:I12)+D18-M19)</f>
        <v>0</v>
      </c>
      <c r="D22" s="35"/>
      <c r="E22" s="35"/>
      <c r="F22" s="36" t="s">
        <v>19</v>
      </c>
      <c r="G22" s="35"/>
      <c r="H22" s="37"/>
      <c r="I22" s="37"/>
      <c r="J22" s="38"/>
    </row>
    <row r="23" spans="1:13" ht="26.25" customHeight="1" x14ac:dyDescent="0.4">
      <c r="A23" s="34"/>
      <c r="B23" s="1" t="s">
        <v>20</v>
      </c>
      <c r="C23" s="39" t="str">
        <f>IF(C5="","",IF(C22&lt;=C26+(G23-1)*100000,B26,IF(C22&lt;=(C26+C27*C33+(G23-1)*100000),B27,IF(C22&lt;=(C26+C28*C33+(G23-1)*100000),B28,"軽減なし"))))</f>
        <v/>
      </c>
      <c r="D23" s="35"/>
      <c r="E23" s="35"/>
      <c r="F23" s="1" t="s">
        <v>21</v>
      </c>
      <c r="G23" s="2">
        <f>COUNTIF(E5:E12,"&gt;0")+COUNTIFS(F5:F12,"&gt;0",E5:E12,"")+COUNTIFS(F5:F12,"&gt;0",E5:E12,"=0")+G18</f>
        <v>0</v>
      </c>
      <c r="H23" s="37"/>
      <c r="I23" s="40"/>
      <c r="J23" s="38"/>
    </row>
    <row r="24" spans="1:13" ht="26.25" customHeight="1" x14ac:dyDescent="0.4">
      <c r="A24" s="34"/>
      <c r="B24" s="35"/>
      <c r="C24" s="41"/>
      <c r="D24" s="35"/>
      <c r="E24" s="35"/>
      <c r="F24" s="35"/>
      <c r="G24" s="42"/>
      <c r="H24" s="35"/>
      <c r="I24" s="35"/>
      <c r="J24" s="43"/>
    </row>
    <row r="25" spans="1:13" ht="26.25" customHeight="1" x14ac:dyDescent="0.4">
      <c r="A25" s="34"/>
      <c r="B25" s="44" t="s">
        <v>22</v>
      </c>
      <c r="C25" s="153" t="s">
        <v>23</v>
      </c>
      <c r="D25" s="153"/>
      <c r="E25" s="153"/>
      <c r="F25" s="153"/>
      <c r="G25" s="153"/>
      <c r="H25" s="153"/>
      <c r="I25" s="153"/>
      <c r="J25" s="38"/>
    </row>
    <row r="26" spans="1:13" ht="26.25" customHeight="1" x14ac:dyDescent="0.4">
      <c r="A26" s="34"/>
      <c r="B26" s="44" t="s">
        <v>24</v>
      </c>
      <c r="C26" s="154">
        <v>430000</v>
      </c>
      <c r="D26" s="154"/>
      <c r="E26" s="154"/>
      <c r="F26" s="154"/>
      <c r="G26" s="154"/>
      <c r="H26" s="154"/>
      <c r="I26" s="154"/>
      <c r="J26" s="38"/>
    </row>
    <row r="27" spans="1:13" ht="26.25" customHeight="1" x14ac:dyDescent="0.4">
      <c r="A27" s="45"/>
      <c r="B27" s="44" t="s">
        <v>25</v>
      </c>
      <c r="C27" s="155">
        <v>295000</v>
      </c>
      <c r="D27" s="155"/>
      <c r="E27" s="155"/>
      <c r="F27" s="155"/>
      <c r="G27" s="155"/>
      <c r="H27" s="155"/>
      <c r="I27" s="155"/>
      <c r="J27" s="38"/>
    </row>
    <row r="28" spans="1:13" ht="26.25" customHeight="1" x14ac:dyDescent="0.4">
      <c r="A28" s="34"/>
      <c r="B28" s="44" t="s">
        <v>26</v>
      </c>
      <c r="C28" s="155">
        <v>545000</v>
      </c>
      <c r="D28" s="155"/>
      <c r="E28" s="155"/>
      <c r="F28" s="155"/>
      <c r="G28" s="155"/>
      <c r="H28" s="155"/>
      <c r="I28" s="155"/>
      <c r="J28" s="38"/>
    </row>
    <row r="29" spans="1:13" ht="20.25" customHeight="1" x14ac:dyDescent="0.45">
      <c r="A29" s="34"/>
      <c r="B29" s="46" t="s">
        <v>27</v>
      </c>
      <c r="C29" s="35"/>
      <c r="D29" s="35"/>
      <c r="E29" s="35"/>
      <c r="F29" s="37"/>
      <c r="G29" s="37"/>
      <c r="H29" s="37"/>
      <c r="I29" s="37"/>
      <c r="J29" s="38"/>
    </row>
    <row r="30" spans="1:13" ht="20.25" customHeight="1" x14ac:dyDescent="0.4">
      <c r="A30" s="34"/>
      <c r="B30" s="42" t="s">
        <v>28</v>
      </c>
      <c r="C30" s="35"/>
      <c r="D30" s="35"/>
      <c r="E30" s="35"/>
      <c r="F30" s="37"/>
      <c r="G30" s="37"/>
      <c r="H30" s="37"/>
      <c r="I30" s="37"/>
      <c r="J30" s="38"/>
    </row>
    <row r="31" spans="1:13" ht="26.25" customHeight="1" x14ac:dyDescent="0.4">
      <c r="A31" s="34"/>
      <c r="B31" s="35"/>
      <c r="C31" s="35"/>
      <c r="D31" s="35"/>
      <c r="E31" s="35"/>
      <c r="F31" s="35"/>
      <c r="G31" s="37"/>
      <c r="H31" s="37"/>
      <c r="I31" s="37"/>
      <c r="J31" s="38"/>
    </row>
    <row r="32" spans="1:13" ht="26.25" customHeight="1" x14ac:dyDescent="0.4">
      <c r="A32" s="34"/>
      <c r="B32" s="44"/>
      <c r="C32" s="44" t="s">
        <v>29</v>
      </c>
      <c r="D32" s="44" t="s">
        <v>30</v>
      </c>
      <c r="E32" s="44" t="s">
        <v>31</v>
      </c>
      <c r="F32" s="35"/>
      <c r="G32" s="37"/>
      <c r="H32" s="37"/>
      <c r="I32" s="37"/>
      <c r="J32" s="38"/>
    </row>
    <row r="33" spans="1:11" ht="26.25" customHeight="1" x14ac:dyDescent="0.4">
      <c r="A33" s="34"/>
      <c r="B33" s="1" t="s">
        <v>32</v>
      </c>
      <c r="C33" s="1">
        <f>COUNTA(D5:D12)</f>
        <v>0</v>
      </c>
      <c r="D33" s="1">
        <f>COUNTIF(D5:D12,"&lt;6")</f>
        <v>0</v>
      </c>
      <c r="E33" s="2">
        <f>SUM(K5:K12)</f>
        <v>0</v>
      </c>
      <c r="F33" s="40"/>
      <c r="G33" s="37"/>
      <c r="H33" s="37"/>
      <c r="I33" s="37"/>
      <c r="J33" s="38"/>
    </row>
    <row r="34" spans="1:11" ht="26.25" customHeight="1" x14ac:dyDescent="0.4">
      <c r="A34" s="34"/>
      <c r="B34" s="1" t="s">
        <v>33</v>
      </c>
      <c r="C34" s="1">
        <f>C33</f>
        <v>0</v>
      </c>
      <c r="D34" s="1">
        <f>D33</f>
        <v>0</v>
      </c>
      <c r="E34" s="3">
        <f>E33</f>
        <v>0</v>
      </c>
      <c r="F34" s="35"/>
      <c r="G34" s="37"/>
      <c r="H34" s="37"/>
      <c r="I34" s="37"/>
      <c r="J34" s="38"/>
    </row>
    <row r="35" spans="1:11" ht="26.25" customHeight="1" x14ac:dyDescent="0.4">
      <c r="A35" s="34"/>
      <c r="B35" s="47" t="s">
        <v>34</v>
      </c>
      <c r="C35" s="1">
        <f>COUNTIF(D5:D12,"&gt;=40")-COUNTIF(D5:D12,"&gt;64")</f>
        <v>0</v>
      </c>
      <c r="D35" s="1">
        <v>0</v>
      </c>
      <c r="E35" s="3">
        <f>SUMIF(L5:L12,"該当",K5:K12)</f>
        <v>0</v>
      </c>
      <c r="F35" s="35"/>
      <c r="G35" s="37"/>
      <c r="H35" s="35"/>
      <c r="I35" s="35"/>
      <c r="J35" s="43"/>
      <c r="K35" s="48"/>
    </row>
    <row r="36" spans="1:11" ht="26.25" customHeight="1" x14ac:dyDescent="0.4">
      <c r="A36" s="34"/>
      <c r="B36" s="35"/>
      <c r="C36" s="35"/>
      <c r="D36" s="35"/>
      <c r="E36" s="35"/>
      <c r="F36" s="35"/>
      <c r="G36" s="35" t="s">
        <v>35</v>
      </c>
      <c r="H36" s="35"/>
      <c r="I36" s="35"/>
      <c r="J36" s="43"/>
    </row>
    <row r="37" spans="1:11" ht="26.25" customHeight="1" x14ac:dyDescent="0.4">
      <c r="A37" s="34"/>
      <c r="B37" s="44" t="s">
        <v>36</v>
      </c>
      <c r="C37" s="44" t="s">
        <v>32</v>
      </c>
      <c r="D37" s="44" t="s">
        <v>33</v>
      </c>
      <c r="E37" s="44" t="s">
        <v>34</v>
      </c>
      <c r="F37" s="35"/>
      <c r="G37" s="44" t="s">
        <v>32</v>
      </c>
      <c r="H37" s="44" t="s">
        <v>33</v>
      </c>
      <c r="I37" s="44" t="s">
        <v>34</v>
      </c>
      <c r="J37" s="43"/>
    </row>
    <row r="38" spans="1:11" ht="26.25" customHeight="1" x14ac:dyDescent="0.4">
      <c r="A38" s="34"/>
      <c r="B38" s="1" t="s">
        <v>37</v>
      </c>
      <c r="C38" s="3">
        <f>E33*G38/100</f>
        <v>0</v>
      </c>
      <c r="D38" s="3">
        <f>E34*H38/100</f>
        <v>0</v>
      </c>
      <c r="E38" s="3">
        <f>E35*I38/100</f>
        <v>0</v>
      </c>
      <c r="F38" s="35"/>
      <c r="G38" s="147">
        <v>8.7200000000000006</v>
      </c>
      <c r="H38" s="147">
        <v>2.95</v>
      </c>
      <c r="I38" s="147">
        <v>2.4300000000000002</v>
      </c>
      <c r="J38" s="43"/>
    </row>
    <row r="39" spans="1:11" ht="26.25" customHeight="1" x14ac:dyDescent="0.4">
      <c r="A39" s="34"/>
      <c r="B39" s="1" t="s">
        <v>38</v>
      </c>
      <c r="C39" s="3">
        <f>C33*G39</f>
        <v>0</v>
      </c>
      <c r="D39" s="3">
        <f>C34*H39</f>
        <v>0</v>
      </c>
      <c r="E39" s="3">
        <f>C35*I39</f>
        <v>0</v>
      </c>
      <c r="F39" s="35"/>
      <c r="G39" s="49">
        <v>28200</v>
      </c>
      <c r="H39" s="49">
        <v>9400</v>
      </c>
      <c r="I39" s="49">
        <v>16900</v>
      </c>
      <c r="J39" s="43"/>
    </row>
    <row r="40" spans="1:11" ht="26.25" customHeight="1" x14ac:dyDescent="0.4">
      <c r="A40" s="34"/>
      <c r="B40" s="1" t="s">
        <v>39</v>
      </c>
      <c r="C40" s="3">
        <f>IF(C33=0,0,G40)</f>
        <v>0</v>
      </c>
      <c r="D40" s="3">
        <f>IF(C34=0,0,H40)</f>
        <v>0</v>
      </c>
      <c r="E40" s="3">
        <f>IF(C35=0,0,I40)</f>
        <v>0</v>
      </c>
      <c r="F40" s="35"/>
      <c r="G40" s="49">
        <v>21600</v>
      </c>
      <c r="H40" s="49">
        <v>7600</v>
      </c>
      <c r="I40" s="49">
        <v>0</v>
      </c>
      <c r="J40" s="43"/>
    </row>
    <row r="41" spans="1:11" ht="26.25" customHeight="1" x14ac:dyDescent="0.4">
      <c r="A41" s="34"/>
      <c r="B41" s="1" t="s">
        <v>40</v>
      </c>
      <c r="C41" s="3">
        <f>IF(C33=0,0,IF($C$23="軽減なし",0,IF($C$23=B26,G39*0.7*C33,IF($C$23=B27,G39*0.5*C33,IF($C$23=B28,G39*0.2*C33,"")))))</f>
        <v>0</v>
      </c>
      <c r="D41" s="3">
        <f>IF(C34=0,0,IF($C$23="軽減なし",0,IF($C$23=B26,H39*0.7*C34,IF($C$23=B27,H39*0.5*C34,IF($C$23=B28,H39*0.2*C34,"")))))</f>
        <v>0</v>
      </c>
      <c r="E41" s="3">
        <f>IF(C35=0,0,IF($C$23="軽減なし",0,IF($C$23=B26,I39*0.7*C35,IF($C$23=B27,I39*0.5*C35,IF($C$23=B28,I39*0.2*C35,"")))))</f>
        <v>0</v>
      </c>
      <c r="F41" s="35"/>
      <c r="G41" s="50"/>
      <c r="H41" s="50"/>
      <c r="I41" s="50"/>
      <c r="J41" s="43"/>
    </row>
    <row r="42" spans="1:11" ht="26.25" customHeight="1" x14ac:dyDescent="0.4">
      <c r="A42" s="34"/>
      <c r="B42" s="51" t="s">
        <v>41</v>
      </c>
      <c r="C42" s="3">
        <f>IF(C33=0,0,IF($C$23="軽減なし",G39*0.5*D33,IF($C$23=B26,G39*0.15*D33,IF($C$23=B27,G39*0.25*D33,IF($C$23=B28,G39*0.4*D33,"")))))</f>
        <v>0</v>
      </c>
      <c r="D42" s="3">
        <f>IF(C33=0,0,IF($C$23="軽減なし",H39*0.5*D33,IF($C$23=B26,H39*0.15*D33,IF($C$23=B27,H39*0.25*D33,IF($C$23=B28,H39*0.4*D33,"")))))</f>
        <v>0</v>
      </c>
      <c r="E42" s="3">
        <v>0</v>
      </c>
      <c r="F42" s="35"/>
      <c r="G42" s="50"/>
      <c r="H42" s="50"/>
      <c r="I42" s="50"/>
      <c r="J42" s="43"/>
    </row>
    <row r="43" spans="1:11" ht="26.25" customHeight="1" x14ac:dyDescent="0.4">
      <c r="A43" s="52"/>
      <c r="B43" s="1" t="s">
        <v>42</v>
      </c>
      <c r="C43" s="3">
        <f>IF(C33=0,0,IF($C$23="軽減なし",0,IF($C$23=B26,G40*0.7,IF($C$23=B27,G40*0.5,IF($C$23=B28,G40*0.2,"")))))</f>
        <v>0</v>
      </c>
      <c r="D43" s="3">
        <f>IF(C33=0,0,IF($C$23="軽減なし",0,IF($C$23=B26,H40*0.7,IF($C$23=B27,H40*0.5,IF($C$23=B28,H40*0.2,"")))))</f>
        <v>0</v>
      </c>
      <c r="E43" s="3">
        <f>IF(C35=0,0,IF($C$23="軽減なし",0,IF($C$23=B26,I40*0.7,IF($C$23=B27,I40*0.5,IF($C$23=B28,I40*0.2,"")))))</f>
        <v>0</v>
      </c>
      <c r="F43" s="35"/>
      <c r="G43" s="35" t="s">
        <v>43</v>
      </c>
      <c r="H43" s="35"/>
      <c r="I43" s="35"/>
      <c r="J43" s="43"/>
    </row>
    <row r="44" spans="1:11" ht="26.25" customHeight="1" x14ac:dyDescent="0.4">
      <c r="A44" s="52"/>
      <c r="B44" s="1" t="s">
        <v>44</v>
      </c>
      <c r="C44" s="3">
        <f>IF(SUM(C38:C40)&lt;G45,0,SUM(C38:C40)-G45)</f>
        <v>0</v>
      </c>
      <c r="D44" s="3">
        <f>IF(SUM(D38:D40)&lt;H45,0,SUM(D38:D40)-H45)</f>
        <v>0</v>
      </c>
      <c r="E44" s="3">
        <f>IF(SUM(E38:E40)&lt;I45,0,SUM(E38:E40)-I45)</f>
        <v>0</v>
      </c>
      <c r="F44" s="35"/>
      <c r="G44" s="44" t="s">
        <v>32</v>
      </c>
      <c r="H44" s="44" t="s">
        <v>33</v>
      </c>
      <c r="I44" s="44" t="s">
        <v>34</v>
      </c>
      <c r="J44" s="43"/>
    </row>
    <row r="45" spans="1:11" ht="26.25" customHeight="1" thickBot="1" x14ac:dyDescent="0.45">
      <c r="A45" s="53"/>
      <c r="B45" s="54" t="s">
        <v>45</v>
      </c>
      <c r="C45" s="55">
        <f>ROUNDDOWN(SUM(C38:C40)-SUM(C41:C44),-2)</f>
        <v>0</v>
      </c>
      <c r="D45" s="55">
        <f>ROUNDDOWN(SUM(D38:D40)-SUM(D41:D44),-2)</f>
        <v>0</v>
      </c>
      <c r="E45" s="55">
        <f>ROUNDDOWN(SUM(E38:E40)-SUM(E41:E44),-2)</f>
        <v>0</v>
      </c>
      <c r="F45" s="56"/>
      <c r="G45" s="57">
        <v>650000</v>
      </c>
      <c r="H45" s="57">
        <v>240000</v>
      </c>
      <c r="I45" s="57">
        <v>170000</v>
      </c>
      <c r="J45" s="58"/>
    </row>
    <row r="46" spans="1:11" ht="37.5" customHeight="1" thickBot="1" x14ac:dyDescent="0.45">
      <c r="A46" s="59"/>
      <c r="B46" s="60"/>
      <c r="C46" s="60"/>
      <c r="D46" s="60"/>
      <c r="E46" s="60"/>
      <c r="F46" s="60"/>
      <c r="G46" s="60"/>
      <c r="H46" s="60"/>
      <c r="I46" s="60"/>
      <c r="J46" s="60"/>
    </row>
    <row r="47" spans="1:11" ht="60.75" customHeight="1" thickBot="1" x14ac:dyDescent="0.45">
      <c r="A47" s="61"/>
      <c r="B47" s="156" t="s">
        <v>46</v>
      </c>
      <c r="C47" s="157"/>
      <c r="D47" s="157"/>
      <c r="E47" s="157"/>
      <c r="F47" s="158" t="str">
        <f>TEXT(SUM(C45:E45),"#,##0")</f>
        <v>0</v>
      </c>
      <c r="G47" s="158"/>
      <c r="H47" s="62" t="s">
        <v>47</v>
      </c>
      <c r="I47" s="61"/>
      <c r="J47" s="61"/>
    </row>
    <row r="48" spans="1:11" ht="37.5" customHeight="1" thickBot="1" x14ac:dyDescent="0.45">
      <c r="A48" s="61"/>
      <c r="B48" s="63"/>
      <c r="C48" s="63"/>
      <c r="D48" s="63"/>
      <c r="E48" s="63"/>
      <c r="F48" s="64"/>
      <c r="G48" s="64"/>
      <c r="H48" s="65"/>
      <c r="I48" s="61"/>
      <c r="J48" s="61"/>
    </row>
    <row r="49" spans="1:10" ht="60" customHeight="1" thickBot="1" x14ac:dyDescent="0.45">
      <c r="A49" s="61"/>
      <c r="B49" s="149" t="s">
        <v>48</v>
      </c>
      <c r="C49" s="150"/>
      <c r="D49" s="150"/>
      <c r="E49" s="150"/>
      <c r="F49" s="151" t="str">
        <f>TEXT(ROUND(SUM(C45:E45)/12,0),"#,##0")</f>
        <v>0</v>
      </c>
      <c r="G49" s="151"/>
      <c r="H49" s="66" t="s">
        <v>47</v>
      </c>
      <c r="I49" s="61"/>
      <c r="J49" s="61"/>
    </row>
    <row r="50" spans="1:10" ht="39" customHeight="1" x14ac:dyDescent="0.4">
      <c r="A50" s="61"/>
      <c r="B50" s="67" t="s">
        <v>49</v>
      </c>
      <c r="C50" s="68"/>
      <c r="D50" s="68"/>
      <c r="E50" s="68"/>
      <c r="F50" s="69"/>
      <c r="G50" s="69"/>
      <c r="H50" s="70"/>
      <c r="I50" s="61"/>
      <c r="J50" s="61"/>
    </row>
    <row r="51" spans="1:10" ht="39" customHeight="1" thickBot="1" x14ac:dyDescent="0.45">
      <c r="A51" s="61"/>
      <c r="B51" s="71" t="s">
        <v>133</v>
      </c>
      <c r="C51" s="72"/>
      <c r="D51" s="72"/>
      <c r="E51" s="71"/>
      <c r="F51" s="71"/>
      <c r="G51" s="61"/>
      <c r="H51" s="61"/>
      <c r="I51" s="61"/>
      <c r="J51" s="61"/>
    </row>
    <row r="52" spans="1:10" ht="60" customHeight="1" thickBot="1" x14ac:dyDescent="0.45">
      <c r="A52" s="61"/>
      <c r="B52" s="149" t="s">
        <v>50</v>
      </c>
      <c r="C52" s="150"/>
      <c r="D52" s="150"/>
      <c r="E52" s="150"/>
      <c r="F52" s="151" t="str">
        <f>TEXT(ROUND(SUM(C45:E45)/10,0),"#,##0")</f>
        <v>0</v>
      </c>
      <c r="G52" s="151"/>
      <c r="H52" s="66" t="s">
        <v>47</v>
      </c>
      <c r="I52" s="61"/>
      <c r="J52" s="61"/>
    </row>
    <row r="53" spans="1:10" ht="22.5" customHeight="1" x14ac:dyDescent="0.4">
      <c r="A53" s="61"/>
      <c r="B53" s="61"/>
      <c r="C53" s="61"/>
      <c r="D53" s="61"/>
      <c r="E53" s="61"/>
      <c r="F53" s="61"/>
      <c r="G53" s="61"/>
      <c r="H53" s="61"/>
      <c r="I53" s="61"/>
      <c r="J53" s="61"/>
    </row>
    <row r="54" spans="1:10" ht="22.5" customHeight="1" x14ac:dyDescent="0.4">
      <c r="B54" s="73" t="s">
        <v>51</v>
      </c>
    </row>
  </sheetData>
  <mergeCells count="11">
    <mergeCell ref="B49:E49"/>
    <mergeCell ref="F49:G49"/>
    <mergeCell ref="B52:E52"/>
    <mergeCell ref="F52:G52"/>
    <mergeCell ref="B1:E1"/>
    <mergeCell ref="C25:I25"/>
    <mergeCell ref="C26:I26"/>
    <mergeCell ref="C27:I27"/>
    <mergeCell ref="C28:I28"/>
    <mergeCell ref="B47:E47"/>
    <mergeCell ref="F47:G47"/>
  </mergeCells>
  <phoneticPr fontId="4"/>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4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0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6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2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8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4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0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6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2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8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4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0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6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2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8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xr:uid="{8F48CAB0-BC55-4416-B114-68F867D159D4}">
      <formula1>"1,2"</formula1>
    </dataValidation>
    <dataValidation type="whole" errorStyle="warning" operator="greaterThanOrEqual" allowBlank="1" showInputMessage="1" showErrorMessage="1" errorTitle="入力内容を確認してください" error="数値を入力してください" sqref="D65544:F65551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5:JB65552 SV65545:SX65552 ACR65545:ACT65552 AMN65545:AMP65552 AWJ65545:AWL65552 BGF65545:BGH65552 BQB65545:BQD65552 BZX65545:BZZ65552 CJT65545:CJV65552 CTP65545:CTR65552 DDL65545:DDN65552 DNH65545:DNJ65552 DXD65545:DXF65552 EGZ65545:EHB65552 EQV65545:EQX65552 FAR65545:FAT65552 FKN65545:FKP65552 FUJ65545:FUL65552 GEF65545:GEH65552 GOB65545:GOD65552 GXX65545:GXZ65552 HHT65545:HHV65552 HRP65545:HRR65552 IBL65545:IBN65552 ILH65545:ILJ65552 IVD65545:IVF65552 JEZ65545:JFB65552 JOV65545:JOX65552 JYR65545:JYT65552 KIN65545:KIP65552 KSJ65545:KSL65552 LCF65545:LCH65552 LMB65545:LMD65552 LVX65545:LVZ65552 MFT65545:MFV65552 MPP65545:MPR65552 MZL65545:MZN65552 NJH65545:NJJ65552 NTD65545:NTF65552 OCZ65545:ODB65552 OMV65545:OMX65552 OWR65545:OWT65552 PGN65545:PGP65552 PQJ65545:PQL65552 QAF65545:QAH65552 QKB65545:QKD65552 QTX65545:QTZ65552 RDT65545:RDV65552 RNP65545:RNR65552 RXL65545:RXN65552 SHH65545:SHJ65552 SRD65545:SRF65552 TAZ65545:TBB65552 TKV65545:TKX65552 TUR65545:TUT65552 UEN65545:UEP65552 UOJ65545:UOL65552 UYF65545:UYH65552 VIB65545:VID65552 VRX65545:VRZ65552 WBT65545:WBV65552 WLP65545:WLR65552 WVL65545:WVN65552 IZ131081:JB131088 SV131081:SX131088 ACR131081:ACT131088 AMN131081:AMP131088 AWJ131081:AWL131088 BGF131081:BGH131088 BQB131081:BQD131088 BZX131081:BZZ131088 CJT131081:CJV131088 CTP131081:CTR131088 DDL131081:DDN131088 DNH131081:DNJ131088 DXD131081:DXF131088 EGZ131081:EHB131088 EQV131081:EQX131088 FAR131081:FAT131088 FKN131081:FKP131088 FUJ131081:FUL131088 GEF131081:GEH131088 GOB131081:GOD131088 GXX131081:GXZ131088 HHT131081:HHV131088 HRP131081:HRR131088 IBL131081:IBN131088 ILH131081:ILJ131088 IVD131081:IVF131088 JEZ131081:JFB131088 JOV131081:JOX131088 JYR131081:JYT131088 KIN131081:KIP131088 KSJ131081:KSL131088 LCF131081:LCH131088 LMB131081:LMD131088 LVX131081:LVZ131088 MFT131081:MFV131088 MPP131081:MPR131088 MZL131081:MZN131088 NJH131081:NJJ131088 NTD131081:NTF131088 OCZ131081:ODB131088 OMV131081:OMX131088 OWR131081:OWT131088 PGN131081:PGP131088 PQJ131081:PQL131088 QAF131081:QAH131088 QKB131081:QKD131088 QTX131081:QTZ131088 RDT131081:RDV131088 RNP131081:RNR131088 RXL131081:RXN131088 SHH131081:SHJ131088 SRD131081:SRF131088 TAZ131081:TBB131088 TKV131081:TKX131088 TUR131081:TUT131088 UEN131081:UEP131088 UOJ131081:UOL131088 UYF131081:UYH131088 VIB131081:VID131088 VRX131081:VRZ131088 WBT131081:WBV131088 WLP131081:WLR131088 WVL131081:WVN131088 IZ196617:JB196624 SV196617:SX196624 ACR196617:ACT196624 AMN196617:AMP196624 AWJ196617:AWL196624 BGF196617:BGH196624 BQB196617:BQD196624 BZX196617:BZZ196624 CJT196617:CJV196624 CTP196617:CTR196624 DDL196617:DDN196624 DNH196617:DNJ196624 DXD196617:DXF196624 EGZ196617:EHB196624 EQV196617:EQX196624 FAR196617:FAT196624 FKN196617:FKP196624 FUJ196617:FUL196624 GEF196617:GEH196624 GOB196617:GOD196624 GXX196617:GXZ196624 HHT196617:HHV196624 HRP196617:HRR196624 IBL196617:IBN196624 ILH196617:ILJ196624 IVD196617:IVF196624 JEZ196617:JFB196624 JOV196617:JOX196624 JYR196617:JYT196624 KIN196617:KIP196624 KSJ196617:KSL196624 LCF196617:LCH196624 LMB196617:LMD196624 LVX196617:LVZ196624 MFT196617:MFV196624 MPP196617:MPR196624 MZL196617:MZN196624 NJH196617:NJJ196624 NTD196617:NTF196624 OCZ196617:ODB196624 OMV196617:OMX196624 OWR196617:OWT196624 PGN196617:PGP196624 PQJ196617:PQL196624 QAF196617:QAH196624 QKB196617:QKD196624 QTX196617:QTZ196624 RDT196617:RDV196624 RNP196617:RNR196624 RXL196617:RXN196624 SHH196617:SHJ196624 SRD196617:SRF196624 TAZ196617:TBB196624 TKV196617:TKX196624 TUR196617:TUT196624 UEN196617:UEP196624 UOJ196617:UOL196624 UYF196617:UYH196624 VIB196617:VID196624 VRX196617:VRZ196624 WBT196617:WBV196624 WLP196617:WLR196624 WVL196617:WVN196624 IZ262153:JB262160 SV262153:SX262160 ACR262153:ACT262160 AMN262153:AMP262160 AWJ262153:AWL262160 BGF262153:BGH262160 BQB262153:BQD262160 BZX262153:BZZ262160 CJT262153:CJV262160 CTP262153:CTR262160 DDL262153:DDN262160 DNH262153:DNJ262160 DXD262153:DXF262160 EGZ262153:EHB262160 EQV262153:EQX262160 FAR262153:FAT262160 FKN262153:FKP262160 FUJ262153:FUL262160 GEF262153:GEH262160 GOB262153:GOD262160 GXX262153:GXZ262160 HHT262153:HHV262160 HRP262153:HRR262160 IBL262153:IBN262160 ILH262153:ILJ262160 IVD262153:IVF262160 JEZ262153:JFB262160 JOV262153:JOX262160 JYR262153:JYT262160 KIN262153:KIP262160 KSJ262153:KSL262160 LCF262153:LCH262160 LMB262153:LMD262160 LVX262153:LVZ262160 MFT262153:MFV262160 MPP262153:MPR262160 MZL262153:MZN262160 NJH262153:NJJ262160 NTD262153:NTF262160 OCZ262153:ODB262160 OMV262153:OMX262160 OWR262153:OWT262160 PGN262153:PGP262160 PQJ262153:PQL262160 QAF262153:QAH262160 QKB262153:QKD262160 QTX262153:QTZ262160 RDT262153:RDV262160 RNP262153:RNR262160 RXL262153:RXN262160 SHH262153:SHJ262160 SRD262153:SRF262160 TAZ262153:TBB262160 TKV262153:TKX262160 TUR262153:TUT262160 UEN262153:UEP262160 UOJ262153:UOL262160 UYF262153:UYH262160 VIB262153:VID262160 VRX262153:VRZ262160 WBT262153:WBV262160 WLP262153:WLR262160 WVL262153:WVN262160 IZ327689:JB327696 SV327689:SX327696 ACR327689:ACT327696 AMN327689:AMP327696 AWJ327689:AWL327696 BGF327689:BGH327696 BQB327689:BQD327696 BZX327689:BZZ327696 CJT327689:CJV327696 CTP327689:CTR327696 DDL327689:DDN327696 DNH327689:DNJ327696 DXD327689:DXF327696 EGZ327689:EHB327696 EQV327689:EQX327696 FAR327689:FAT327696 FKN327689:FKP327696 FUJ327689:FUL327696 GEF327689:GEH327696 GOB327689:GOD327696 GXX327689:GXZ327696 HHT327689:HHV327696 HRP327689:HRR327696 IBL327689:IBN327696 ILH327689:ILJ327696 IVD327689:IVF327696 JEZ327689:JFB327696 JOV327689:JOX327696 JYR327689:JYT327696 KIN327689:KIP327696 KSJ327689:KSL327696 LCF327689:LCH327696 LMB327689:LMD327696 LVX327689:LVZ327696 MFT327689:MFV327696 MPP327689:MPR327696 MZL327689:MZN327696 NJH327689:NJJ327696 NTD327689:NTF327696 OCZ327689:ODB327696 OMV327689:OMX327696 OWR327689:OWT327696 PGN327689:PGP327696 PQJ327689:PQL327696 QAF327689:QAH327696 QKB327689:QKD327696 QTX327689:QTZ327696 RDT327689:RDV327696 RNP327689:RNR327696 RXL327689:RXN327696 SHH327689:SHJ327696 SRD327689:SRF327696 TAZ327689:TBB327696 TKV327689:TKX327696 TUR327689:TUT327696 UEN327689:UEP327696 UOJ327689:UOL327696 UYF327689:UYH327696 VIB327689:VID327696 VRX327689:VRZ327696 WBT327689:WBV327696 WLP327689:WLR327696 WVL327689:WVN327696 IZ393225:JB393232 SV393225:SX393232 ACR393225:ACT393232 AMN393225:AMP393232 AWJ393225:AWL393232 BGF393225:BGH393232 BQB393225:BQD393232 BZX393225:BZZ393232 CJT393225:CJV393232 CTP393225:CTR393232 DDL393225:DDN393232 DNH393225:DNJ393232 DXD393225:DXF393232 EGZ393225:EHB393232 EQV393225:EQX393232 FAR393225:FAT393232 FKN393225:FKP393232 FUJ393225:FUL393232 GEF393225:GEH393232 GOB393225:GOD393232 GXX393225:GXZ393232 HHT393225:HHV393232 HRP393225:HRR393232 IBL393225:IBN393232 ILH393225:ILJ393232 IVD393225:IVF393232 JEZ393225:JFB393232 JOV393225:JOX393232 JYR393225:JYT393232 KIN393225:KIP393232 KSJ393225:KSL393232 LCF393225:LCH393232 LMB393225:LMD393232 LVX393225:LVZ393232 MFT393225:MFV393232 MPP393225:MPR393232 MZL393225:MZN393232 NJH393225:NJJ393232 NTD393225:NTF393232 OCZ393225:ODB393232 OMV393225:OMX393232 OWR393225:OWT393232 PGN393225:PGP393232 PQJ393225:PQL393232 QAF393225:QAH393232 QKB393225:QKD393232 QTX393225:QTZ393232 RDT393225:RDV393232 RNP393225:RNR393232 RXL393225:RXN393232 SHH393225:SHJ393232 SRD393225:SRF393232 TAZ393225:TBB393232 TKV393225:TKX393232 TUR393225:TUT393232 UEN393225:UEP393232 UOJ393225:UOL393232 UYF393225:UYH393232 VIB393225:VID393232 VRX393225:VRZ393232 WBT393225:WBV393232 WLP393225:WLR393232 WVL393225:WVN393232 IZ458761:JB458768 SV458761:SX458768 ACR458761:ACT458768 AMN458761:AMP458768 AWJ458761:AWL458768 BGF458761:BGH458768 BQB458761:BQD458768 BZX458761:BZZ458768 CJT458761:CJV458768 CTP458761:CTR458768 DDL458761:DDN458768 DNH458761:DNJ458768 DXD458761:DXF458768 EGZ458761:EHB458768 EQV458761:EQX458768 FAR458761:FAT458768 FKN458761:FKP458768 FUJ458761:FUL458768 GEF458761:GEH458768 GOB458761:GOD458768 GXX458761:GXZ458768 HHT458761:HHV458768 HRP458761:HRR458768 IBL458761:IBN458768 ILH458761:ILJ458768 IVD458761:IVF458768 JEZ458761:JFB458768 JOV458761:JOX458768 JYR458761:JYT458768 KIN458761:KIP458768 KSJ458761:KSL458768 LCF458761:LCH458768 LMB458761:LMD458768 LVX458761:LVZ458768 MFT458761:MFV458768 MPP458761:MPR458768 MZL458761:MZN458768 NJH458761:NJJ458768 NTD458761:NTF458768 OCZ458761:ODB458768 OMV458761:OMX458768 OWR458761:OWT458768 PGN458761:PGP458768 PQJ458761:PQL458768 QAF458761:QAH458768 QKB458761:QKD458768 QTX458761:QTZ458768 RDT458761:RDV458768 RNP458761:RNR458768 RXL458761:RXN458768 SHH458761:SHJ458768 SRD458761:SRF458768 TAZ458761:TBB458768 TKV458761:TKX458768 TUR458761:TUT458768 UEN458761:UEP458768 UOJ458761:UOL458768 UYF458761:UYH458768 VIB458761:VID458768 VRX458761:VRZ458768 WBT458761:WBV458768 WLP458761:WLR458768 WVL458761:WVN458768 IZ524297:JB524304 SV524297:SX524304 ACR524297:ACT524304 AMN524297:AMP524304 AWJ524297:AWL524304 BGF524297:BGH524304 BQB524297:BQD524304 BZX524297:BZZ524304 CJT524297:CJV524304 CTP524297:CTR524304 DDL524297:DDN524304 DNH524297:DNJ524304 DXD524297:DXF524304 EGZ524297:EHB524304 EQV524297:EQX524304 FAR524297:FAT524304 FKN524297:FKP524304 FUJ524297:FUL524304 GEF524297:GEH524304 GOB524297:GOD524304 GXX524297:GXZ524304 HHT524297:HHV524304 HRP524297:HRR524304 IBL524297:IBN524304 ILH524297:ILJ524304 IVD524297:IVF524304 JEZ524297:JFB524304 JOV524297:JOX524304 JYR524297:JYT524304 KIN524297:KIP524304 KSJ524297:KSL524304 LCF524297:LCH524304 LMB524297:LMD524304 LVX524297:LVZ524304 MFT524297:MFV524304 MPP524297:MPR524304 MZL524297:MZN524304 NJH524297:NJJ524304 NTD524297:NTF524304 OCZ524297:ODB524304 OMV524297:OMX524304 OWR524297:OWT524304 PGN524297:PGP524304 PQJ524297:PQL524304 QAF524297:QAH524304 QKB524297:QKD524304 QTX524297:QTZ524304 RDT524297:RDV524304 RNP524297:RNR524304 RXL524297:RXN524304 SHH524297:SHJ524304 SRD524297:SRF524304 TAZ524297:TBB524304 TKV524297:TKX524304 TUR524297:TUT524304 UEN524297:UEP524304 UOJ524297:UOL524304 UYF524297:UYH524304 VIB524297:VID524304 VRX524297:VRZ524304 WBT524297:WBV524304 WLP524297:WLR524304 WVL524297:WVN524304 IZ589833:JB589840 SV589833:SX589840 ACR589833:ACT589840 AMN589833:AMP589840 AWJ589833:AWL589840 BGF589833:BGH589840 BQB589833:BQD589840 BZX589833:BZZ589840 CJT589833:CJV589840 CTP589833:CTR589840 DDL589833:DDN589840 DNH589833:DNJ589840 DXD589833:DXF589840 EGZ589833:EHB589840 EQV589833:EQX589840 FAR589833:FAT589840 FKN589833:FKP589840 FUJ589833:FUL589840 GEF589833:GEH589840 GOB589833:GOD589840 GXX589833:GXZ589840 HHT589833:HHV589840 HRP589833:HRR589840 IBL589833:IBN589840 ILH589833:ILJ589840 IVD589833:IVF589840 JEZ589833:JFB589840 JOV589833:JOX589840 JYR589833:JYT589840 KIN589833:KIP589840 KSJ589833:KSL589840 LCF589833:LCH589840 LMB589833:LMD589840 LVX589833:LVZ589840 MFT589833:MFV589840 MPP589833:MPR589840 MZL589833:MZN589840 NJH589833:NJJ589840 NTD589833:NTF589840 OCZ589833:ODB589840 OMV589833:OMX589840 OWR589833:OWT589840 PGN589833:PGP589840 PQJ589833:PQL589840 QAF589833:QAH589840 QKB589833:QKD589840 QTX589833:QTZ589840 RDT589833:RDV589840 RNP589833:RNR589840 RXL589833:RXN589840 SHH589833:SHJ589840 SRD589833:SRF589840 TAZ589833:TBB589840 TKV589833:TKX589840 TUR589833:TUT589840 UEN589833:UEP589840 UOJ589833:UOL589840 UYF589833:UYH589840 VIB589833:VID589840 VRX589833:VRZ589840 WBT589833:WBV589840 WLP589833:WLR589840 WVL589833:WVN589840 IZ655369:JB655376 SV655369:SX655376 ACR655369:ACT655376 AMN655369:AMP655376 AWJ655369:AWL655376 BGF655369:BGH655376 BQB655369:BQD655376 BZX655369:BZZ655376 CJT655369:CJV655376 CTP655369:CTR655376 DDL655369:DDN655376 DNH655369:DNJ655376 DXD655369:DXF655376 EGZ655369:EHB655376 EQV655369:EQX655376 FAR655369:FAT655376 FKN655369:FKP655376 FUJ655369:FUL655376 GEF655369:GEH655376 GOB655369:GOD655376 GXX655369:GXZ655376 HHT655369:HHV655376 HRP655369:HRR655376 IBL655369:IBN655376 ILH655369:ILJ655376 IVD655369:IVF655376 JEZ655369:JFB655376 JOV655369:JOX655376 JYR655369:JYT655376 KIN655369:KIP655376 KSJ655369:KSL655376 LCF655369:LCH655376 LMB655369:LMD655376 LVX655369:LVZ655376 MFT655369:MFV655376 MPP655369:MPR655376 MZL655369:MZN655376 NJH655369:NJJ655376 NTD655369:NTF655376 OCZ655369:ODB655376 OMV655369:OMX655376 OWR655369:OWT655376 PGN655369:PGP655376 PQJ655369:PQL655376 QAF655369:QAH655376 QKB655369:QKD655376 QTX655369:QTZ655376 RDT655369:RDV655376 RNP655369:RNR655376 RXL655369:RXN655376 SHH655369:SHJ655376 SRD655369:SRF655376 TAZ655369:TBB655376 TKV655369:TKX655376 TUR655369:TUT655376 UEN655369:UEP655376 UOJ655369:UOL655376 UYF655369:UYH655376 VIB655369:VID655376 VRX655369:VRZ655376 WBT655369:WBV655376 WLP655369:WLR655376 WVL655369:WVN655376 IZ720905:JB720912 SV720905:SX720912 ACR720905:ACT720912 AMN720905:AMP720912 AWJ720905:AWL720912 BGF720905:BGH720912 BQB720905:BQD720912 BZX720905:BZZ720912 CJT720905:CJV720912 CTP720905:CTR720912 DDL720905:DDN720912 DNH720905:DNJ720912 DXD720905:DXF720912 EGZ720905:EHB720912 EQV720905:EQX720912 FAR720905:FAT720912 FKN720905:FKP720912 FUJ720905:FUL720912 GEF720905:GEH720912 GOB720905:GOD720912 GXX720905:GXZ720912 HHT720905:HHV720912 HRP720905:HRR720912 IBL720905:IBN720912 ILH720905:ILJ720912 IVD720905:IVF720912 JEZ720905:JFB720912 JOV720905:JOX720912 JYR720905:JYT720912 KIN720905:KIP720912 KSJ720905:KSL720912 LCF720905:LCH720912 LMB720905:LMD720912 LVX720905:LVZ720912 MFT720905:MFV720912 MPP720905:MPR720912 MZL720905:MZN720912 NJH720905:NJJ720912 NTD720905:NTF720912 OCZ720905:ODB720912 OMV720905:OMX720912 OWR720905:OWT720912 PGN720905:PGP720912 PQJ720905:PQL720912 QAF720905:QAH720912 QKB720905:QKD720912 QTX720905:QTZ720912 RDT720905:RDV720912 RNP720905:RNR720912 RXL720905:RXN720912 SHH720905:SHJ720912 SRD720905:SRF720912 TAZ720905:TBB720912 TKV720905:TKX720912 TUR720905:TUT720912 UEN720905:UEP720912 UOJ720905:UOL720912 UYF720905:UYH720912 VIB720905:VID720912 VRX720905:VRZ720912 WBT720905:WBV720912 WLP720905:WLR720912 WVL720905:WVN720912 IZ786441:JB786448 SV786441:SX786448 ACR786441:ACT786448 AMN786441:AMP786448 AWJ786441:AWL786448 BGF786441:BGH786448 BQB786441:BQD786448 BZX786441:BZZ786448 CJT786441:CJV786448 CTP786441:CTR786448 DDL786441:DDN786448 DNH786441:DNJ786448 DXD786441:DXF786448 EGZ786441:EHB786448 EQV786441:EQX786448 FAR786441:FAT786448 FKN786441:FKP786448 FUJ786441:FUL786448 GEF786441:GEH786448 GOB786441:GOD786448 GXX786441:GXZ786448 HHT786441:HHV786448 HRP786441:HRR786448 IBL786441:IBN786448 ILH786441:ILJ786448 IVD786441:IVF786448 JEZ786441:JFB786448 JOV786441:JOX786448 JYR786441:JYT786448 KIN786441:KIP786448 KSJ786441:KSL786448 LCF786441:LCH786448 LMB786441:LMD786448 LVX786441:LVZ786448 MFT786441:MFV786448 MPP786441:MPR786448 MZL786441:MZN786448 NJH786441:NJJ786448 NTD786441:NTF786448 OCZ786441:ODB786448 OMV786441:OMX786448 OWR786441:OWT786448 PGN786441:PGP786448 PQJ786441:PQL786448 QAF786441:QAH786448 QKB786441:QKD786448 QTX786441:QTZ786448 RDT786441:RDV786448 RNP786441:RNR786448 RXL786441:RXN786448 SHH786441:SHJ786448 SRD786441:SRF786448 TAZ786441:TBB786448 TKV786441:TKX786448 TUR786441:TUT786448 UEN786441:UEP786448 UOJ786441:UOL786448 UYF786441:UYH786448 VIB786441:VID786448 VRX786441:VRZ786448 WBT786441:WBV786448 WLP786441:WLR786448 WVL786441:WVN786448 IZ851977:JB851984 SV851977:SX851984 ACR851977:ACT851984 AMN851977:AMP851984 AWJ851977:AWL851984 BGF851977:BGH851984 BQB851977:BQD851984 BZX851977:BZZ851984 CJT851977:CJV851984 CTP851977:CTR851984 DDL851977:DDN851984 DNH851977:DNJ851984 DXD851977:DXF851984 EGZ851977:EHB851984 EQV851977:EQX851984 FAR851977:FAT851984 FKN851977:FKP851984 FUJ851977:FUL851984 GEF851977:GEH851984 GOB851977:GOD851984 GXX851977:GXZ851984 HHT851977:HHV851984 HRP851977:HRR851984 IBL851977:IBN851984 ILH851977:ILJ851984 IVD851977:IVF851984 JEZ851977:JFB851984 JOV851977:JOX851984 JYR851977:JYT851984 KIN851977:KIP851984 KSJ851977:KSL851984 LCF851977:LCH851984 LMB851977:LMD851984 LVX851977:LVZ851984 MFT851977:MFV851984 MPP851977:MPR851984 MZL851977:MZN851984 NJH851977:NJJ851984 NTD851977:NTF851984 OCZ851977:ODB851984 OMV851977:OMX851984 OWR851977:OWT851984 PGN851977:PGP851984 PQJ851977:PQL851984 QAF851977:QAH851984 QKB851977:QKD851984 QTX851977:QTZ851984 RDT851977:RDV851984 RNP851977:RNR851984 RXL851977:RXN851984 SHH851977:SHJ851984 SRD851977:SRF851984 TAZ851977:TBB851984 TKV851977:TKX851984 TUR851977:TUT851984 UEN851977:UEP851984 UOJ851977:UOL851984 UYF851977:UYH851984 VIB851977:VID851984 VRX851977:VRZ851984 WBT851977:WBV851984 WLP851977:WLR851984 WVL851977:WVN851984 IZ917513:JB917520 SV917513:SX917520 ACR917513:ACT917520 AMN917513:AMP917520 AWJ917513:AWL917520 BGF917513:BGH917520 BQB917513:BQD917520 BZX917513:BZZ917520 CJT917513:CJV917520 CTP917513:CTR917520 DDL917513:DDN917520 DNH917513:DNJ917520 DXD917513:DXF917520 EGZ917513:EHB917520 EQV917513:EQX917520 FAR917513:FAT917520 FKN917513:FKP917520 FUJ917513:FUL917520 GEF917513:GEH917520 GOB917513:GOD917520 GXX917513:GXZ917520 HHT917513:HHV917520 HRP917513:HRR917520 IBL917513:IBN917520 ILH917513:ILJ917520 IVD917513:IVF917520 JEZ917513:JFB917520 JOV917513:JOX917520 JYR917513:JYT917520 KIN917513:KIP917520 KSJ917513:KSL917520 LCF917513:LCH917520 LMB917513:LMD917520 LVX917513:LVZ917520 MFT917513:MFV917520 MPP917513:MPR917520 MZL917513:MZN917520 NJH917513:NJJ917520 NTD917513:NTF917520 OCZ917513:ODB917520 OMV917513:OMX917520 OWR917513:OWT917520 PGN917513:PGP917520 PQJ917513:PQL917520 QAF917513:QAH917520 QKB917513:QKD917520 QTX917513:QTZ917520 RDT917513:RDV917520 RNP917513:RNR917520 RXL917513:RXN917520 SHH917513:SHJ917520 SRD917513:SRF917520 TAZ917513:TBB917520 TKV917513:TKX917520 TUR917513:TUT917520 UEN917513:UEP917520 UOJ917513:UOL917520 UYF917513:UYH917520 VIB917513:VID917520 VRX917513:VRZ917520 WBT917513:WBV917520 WLP917513:WLR917520 WVL917513:WVN917520 IZ983049:JB983056 SV983049:SX983056 ACR983049:ACT983056 AMN983049:AMP983056 AWJ983049:AWL983056 BGF983049:BGH983056 BQB983049:BQD983056 BZX983049:BZZ983056 CJT983049:CJV983056 CTP983049:CTR983056 DDL983049:DDN983056 DNH983049:DNJ983056 DXD983049:DXF983056 EGZ983049:EHB983056 EQV983049:EQX983056 FAR983049:FAT983056 FKN983049:FKP983056 FUJ983049:FUL983056 GEF983049:GEH983056 GOB983049:GOD983056 GXX983049:GXZ983056 HHT983049:HHV983056 HRP983049:HRR983056 IBL983049:IBN983056 ILH983049:ILJ983056 IVD983049:IVF983056 JEZ983049:JFB983056 JOV983049:JOX983056 JYR983049:JYT983056 KIN983049:KIP983056 KSJ983049:KSL983056 LCF983049:LCH983056 LMB983049:LMD983056 LVX983049:LVZ983056 MFT983049:MFV983056 MPP983049:MPR983056 MZL983049:MZN983056 NJH983049:NJJ983056 NTD983049:NTF983056 OCZ983049:ODB983056 OMV983049:OMX983056 OWR983049:OWT983056 PGN983049:PGP983056 PQJ983049:PQL983056 QAF983049:QAH983056 QKB983049:QKD983056 QTX983049:QTZ983056 RDT983049:RDV983056 RNP983049:RNR983056 RXL983049:RXN983056 SHH983049:SHJ983056 SRD983049:SRF983056 TAZ983049:TBB983056 TKV983049:TKX983056 TUR983049:TUT983056 UEN983049:UEP983056 UOJ983049:UOL983056 UYF983049:UYH983056 VIB983049:VID983056 VRX983049:VRZ983056 WBT983049:WBV983056 WLP983049:WLR983056 WVL983049:WVN983056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7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3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29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5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1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7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3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09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5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1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7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3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89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5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1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983048:F983055 D917512:F917519 D851976:F851983 D786440:F786447 D720904:F720911 D655368:F655375 D589832:F589839 D524296:F524303 D458760:F458767 D393224:F393231 D327688:F327695 D262152:F262159 D196616:F196623 D131080:F131087 D5:F12" xr:uid="{962341AF-AC2C-45EB-8370-BA715B016AE3}">
      <formula1>0</formula1>
    </dataValidation>
    <dataValidation type="list" allowBlank="1" showInputMessage="1" showErrorMessage="1" sqref="C18" xr:uid="{B2374875-861D-47BE-8CF2-49B4B0170496}">
      <formula1>"給与,年金(65歳以上),年金(65歳未満),その他"</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F3F3-128B-47A3-B345-FDF6E362BD21}">
  <sheetPr>
    <tabColor rgb="FF92D050"/>
  </sheetPr>
  <dimension ref="B1:M24"/>
  <sheetViews>
    <sheetView zoomScale="80" zoomScaleNormal="80" workbookViewId="0">
      <selection activeCell="F31" sqref="F31"/>
    </sheetView>
  </sheetViews>
  <sheetFormatPr defaultColWidth="9" defaultRowHeight="19.5" x14ac:dyDescent="0.4"/>
  <cols>
    <col min="1" max="1" width="6.375" style="74" customWidth="1"/>
    <col min="2" max="2" width="14.625" style="74" customWidth="1"/>
    <col min="3" max="3" width="3.75" style="74" bestFit="1" customWidth="1"/>
    <col min="4" max="4" width="14.25" style="74" bestFit="1" customWidth="1"/>
    <col min="5" max="5" width="3.75" style="74" bestFit="1" customWidth="1"/>
    <col min="6" max="6" width="20.375" style="74" customWidth="1"/>
    <col min="7" max="7" width="3.75" style="74" bestFit="1" customWidth="1"/>
    <col min="8" max="8" width="51.875" style="74" bestFit="1" customWidth="1"/>
    <col min="9" max="9" width="9" style="74"/>
    <col min="10" max="10" width="9" style="94"/>
    <col min="11" max="11" width="9" style="95"/>
    <col min="12" max="13" width="9" style="94"/>
    <col min="14" max="16384" width="9" style="74"/>
  </cols>
  <sheetData>
    <row r="1" spans="2:8" ht="20.25" thickBot="1" x14ac:dyDescent="0.45"/>
    <row r="2" spans="2:8" ht="30" customHeight="1" thickBot="1" x14ac:dyDescent="0.45">
      <c r="B2" s="181" t="s">
        <v>52</v>
      </c>
      <c r="C2" s="182"/>
      <c r="D2" s="182"/>
      <c r="E2" s="183"/>
      <c r="F2" s="75"/>
      <c r="G2" s="76" t="s">
        <v>53</v>
      </c>
      <c r="H2" s="74" t="s">
        <v>54</v>
      </c>
    </row>
    <row r="3" spans="2:8" ht="30" customHeight="1" thickBot="1" x14ac:dyDescent="0.45">
      <c r="B3" s="181" t="s">
        <v>55</v>
      </c>
      <c r="C3" s="182"/>
      <c r="D3" s="182"/>
      <c r="E3" s="183"/>
      <c r="F3" s="77">
        <f>IFERROR(SUM(F14:F23,H11),"")</f>
        <v>0</v>
      </c>
      <c r="G3" s="76" t="s">
        <v>53</v>
      </c>
    </row>
    <row r="4" spans="2:8" ht="22.5" customHeight="1" x14ac:dyDescent="0.4"/>
    <row r="5" spans="2:8" ht="20.25" thickBot="1" x14ac:dyDescent="0.45">
      <c r="B5" s="74" t="s">
        <v>56</v>
      </c>
    </row>
    <row r="6" spans="2:8" x14ac:dyDescent="0.4">
      <c r="B6" s="184" t="s">
        <v>57</v>
      </c>
      <c r="C6" s="185"/>
      <c r="D6" s="185"/>
      <c r="E6" s="185"/>
      <c r="F6" s="186" t="s">
        <v>58</v>
      </c>
      <c r="G6" s="187"/>
      <c r="H6" s="159" t="s">
        <v>59</v>
      </c>
    </row>
    <row r="7" spans="2:8" x14ac:dyDescent="0.4">
      <c r="B7" s="162" t="s">
        <v>60</v>
      </c>
      <c r="C7" s="163"/>
      <c r="D7" s="163"/>
      <c r="E7" s="163"/>
      <c r="F7" s="164" t="s">
        <v>61</v>
      </c>
      <c r="G7" s="165"/>
      <c r="H7" s="160"/>
    </row>
    <row r="8" spans="2:8" x14ac:dyDescent="0.4">
      <c r="B8" s="166" t="s">
        <v>62</v>
      </c>
      <c r="C8" s="167"/>
      <c r="D8" s="167"/>
      <c r="E8" s="167"/>
      <c r="F8" s="164" t="s">
        <v>61</v>
      </c>
      <c r="G8" s="165"/>
      <c r="H8" s="160"/>
    </row>
    <row r="9" spans="2:8" ht="20.25" thickBot="1" x14ac:dyDescent="0.45">
      <c r="B9" s="168" t="s">
        <v>63</v>
      </c>
      <c r="C9" s="169"/>
      <c r="D9" s="169"/>
      <c r="E9" s="169"/>
      <c r="F9" s="170" t="s">
        <v>61</v>
      </c>
      <c r="G9" s="171"/>
      <c r="H9" s="160"/>
    </row>
    <row r="10" spans="2:8" ht="21" thickTop="1" thickBot="1" x14ac:dyDescent="0.45">
      <c r="B10" s="172" t="s">
        <v>64</v>
      </c>
      <c r="C10" s="173"/>
      <c r="D10" s="173"/>
      <c r="E10" s="173"/>
      <c r="F10" s="174" t="str">
        <f>IF(F2&lt;8500000,"非該当",IF(AND(F6="",F7="",F8="",F9=""),"",IF(AND(F6="非該当",F7="なし",F8="なし",F9="なし"),"非該当",IF(F2&gt;10000000,150000,(F2-8500000)*0.1))))</f>
        <v>非該当</v>
      </c>
      <c r="G10" s="175"/>
      <c r="H10" s="161"/>
    </row>
    <row r="11" spans="2:8" ht="20.25" thickBot="1" x14ac:dyDescent="0.45">
      <c r="B11" s="176" t="s">
        <v>65</v>
      </c>
      <c r="C11" s="177"/>
      <c r="D11" s="177"/>
      <c r="E11" s="177"/>
      <c r="F11" s="177"/>
      <c r="G11" s="178"/>
      <c r="H11" s="78" t="str">
        <f>IFERROR(IF(F10="非該当",$F$24,IF(F10="非該当","",F24-F10)),"")</f>
        <v/>
      </c>
    </row>
    <row r="12" spans="2:8" ht="20.25" thickBot="1" x14ac:dyDescent="0.45"/>
    <row r="13" spans="2:8" ht="30" customHeight="1" x14ac:dyDescent="0.4">
      <c r="B13" s="179" t="s">
        <v>66</v>
      </c>
      <c r="C13" s="180"/>
      <c r="D13" s="180"/>
      <c r="E13" s="180"/>
      <c r="F13" s="179" t="s">
        <v>67</v>
      </c>
      <c r="G13" s="180"/>
      <c r="H13" s="79" t="s">
        <v>68</v>
      </c>
    </row>
    <row r="14" spans="2:8" ht="30" customHeight="1" x14ac:dyDescent="0.4">
      <c r="B14" s="80"/>
      <c r="C14" s="81" t="s">
        <v>69</v>
      </c>
      <c r="D14" s="82">
        <v>550999</v>
      </c>
      <c r="E14" s="82" t="s">
        <v>53</v>
      </c>
      <c r="F14" s="83" t="str">
        <f>IF(AND(F2&lt;=D14,F2&lt;&gt;""),0,"")</f>
        <v/>
      </c>
      <c r="G14" s="84" t="s">
        <v>53</v>
      </c>
      <c r="H14" s="85" t="s">
        <v>70</v>
      </c>
    </row>
    <row r="15" spans="2:8" ht="30" customHeight="1" x14ac:dyDescent="0.4">
      <c r="B15" s="83">
        <v>551000</v>
      </c>
      <c r="C15" s="86" t="s">
        <v>69</v>
      </c>
      <c r="D15" s="87">
        <v>1618999</v>
      </c>
      <c r="E15" s="87" t="s">
        <v>53</v>
      </c>
      <c r="F15" s="80" t="str">
        <f>IF(AND($F$2&lt;=D15,$F$2&gt;=B15),F2-550000,"")</f>
        <v/>
      </c>
      <c r="G15" s="74" t="s">
        <v>53</v>
      </c>
      <c r="H15" s="85" t="s">
        <v>71</v>
      </c>
    </row>
    <row r="16" spans="2:8" ht="30" customHeight="1" x14ac:dyDescent="0.4">
      <c r="B16" s="80">
        <v>1619000</v>
      </c>
      <c r="C16" s="81" t="s">
        <v>69</v>
      </c>
      <c r="D16" s="82">
        <v>1619999</v>
      </c>
      <c r="E16" s="82" t="s">
        <v>53</v>
      </c>
      <c r="F16" s="83" t="str">
        <f>IF(AND($F$2&lt;=D16,$F$2&gt;=B16),1069000,"")</f>
        <v/>
      </c>
      <c r="G16" s="84" t="s">
        <v>53</v>
      </c>
      <c r="H16" s="85" t="s">
        <v>72</v>
      </c>
    </row>
    <row r="17" spans="2:8" ht="30" customHeight="1" x14ac:dyDescent="0.4">
      <c r="B17" s="83">
        <v>1620000</v>
      </c>
      <c r="C17" s="86" t="s">
        <v>69</v>
      </c>
      <c r="D17" s="87">
        <v>1621999</v>
      </c>
      <c r="E17" s="87" t="s">
        <v>53</v>
      </c>
      <c r="F17" s="80" t="str">
        <f>IF(AND($F$2&lt;=D17,$F$2&gt;=B17),1070000,"")</f>
        <v/>
      </c>
      <c r="G17" s="74" t="s">
        <v>53</v>
      </c>
      <c r="H17" s="85" t="s">
        <v>73</v>
      </c>
    </row>
    <row r="18" spans="2:8" ht="30" customHeight="1" x14ac:dyDescent="0.4">
      <c r="B18" s="80">
        <v>1622000</v>
      </c>
      <c r="C18" s="81" t="s">
        <v>69</v>
      </c>
      <c r="D18" s="82">
        <v>1623999</v>
      </c>
      <c r="E18" s="82" t="s">
        <v>53</v>
      </c>
      <c r="F18" s="83" t="str">
        <f>IF(AND($F$2&lt;=D18,$F$2&gt;=B18),1072000,"")</f>
        <v/>
      </c>
      <c r="G18" s="84" t="s">
        <v>53</v>
      </c>
      <c r="H18" s="85" t="s">
        <v>74</v>
      </c>
    </row>
    <row r="19" spans="2:8" ht="30" customHeight="1" x14ac:dyDescent="0.4">
      <c r="B19" s="83">
        <v>1624000</v>
      </c>
      <c r="C19" s="86" t="s">
        <v>69</v>
      </c>
      <c r="D19" s="87">
        <v>1627999</v>
      </c>
      <c r="E19" s="87" t="s">
        <v>53</v>
      </c>
      <c r="F19" s="80" t="str">
        <f>IF(AND($F$2&lt;=D19,$F$2&gt;=B19),1074000,"")</f>
        <v/>
      </c>
      <c r="G19" s="74" t="s">
        <v>53</v>
      </c>
      <c r="H19" s="85" t="s">
        <v>75</v>
      </c>
    </row>
    <row r="20" spans="2:8" ht="30" customHeight="1" x14ac:dyDescent="0.4">
      <c r="B20" s="80">
        <v>1628000</v>
      </c>
      <c r="C20" s="81" t="s">
        <v>69</v>
      </c>
      <c r="D20" s="82">
        <v>1799999</v>
      </c>
      <c r="E20" s="82" t="s">
        <v>53</v>
      </c>
      <c r="F20" s="83" t="str">
        <f>IF(AND($F$2&lt;=D20,$F$2&gt;=B20),(ROUNDDOWN(F2/4,-3)*2.4)+100000,"")</f>
        <v/>
      </c>
      <c r="G20" s="84" t="s">
        <v>53</v>
      </c>
      <c r="H20" s="85" t="s">
        <v>76</v>
      </c>
    </row>
    <row r="21" spans="2:8" ht="30" customHeight="1" x14ac:dyDescent="0.4">
      <c r="B21" s="83">
        <v>1800000</v>
      </c>
      <c r="C21" s="86" t="s">
        <v>69</v>
      </c>
      <c r="D21" s="87">
        <v>3599999</v>
      </c>
      <c r="E21" s="87" t="s">
        <v>53</v>
      </c>
      <c r="F21" s="80" t="str">
        <f>IF(AND($F$2&lt;=D21,$F$2&gt;=B21),(ROUNDDOWN(F2/4,-3)*2.8)-80000,"")</f>
        <v/>
      </c>
      <c r="G21" s="74" t="s">
        <v>53</v>
      </c>
      <c r="H21" s="85" t="s">
        <v>77</v>
      </c>
    </row>
    <row r="22" spans="2:8" ht="30" customHeight="1" x14ac:dyDescent="0.4">
      <c r="B22" s="80">
        <v>3600000</v>
      </c>
      <c r="C22" s="81" t="s">
        <v>69</v>
      </c>
      <c r="D22" s="82">
        <v>6599999</v>
      </c>
      <c r="E22" s="82" t="s">
        <v>53</v>
      </c>
      <c r="F22" s="83" t="str">
        <f>IF(AND($F$2&lt;=D22,$F$2&gt;=B22),(ROUNDDOWN(F2/4,-3)*3.2)-440000,"")</f>
        <v/>
      </c>
      <c r="G22" s="84" t="s">
        <v>53</v>
      </c>
      <c r="H22" s="85" t="s">
        <v>78</v>
      </c>
    </row>
    <row r="23" spans="2:8" ht="30" customHeight="1" x14ac:dyDescent="0.4">
      <c r="B23" s="83">
        <v>6600000</v>
      </c>
      <c r="C23" s="86" t="s">
        <v>69</v>
      </c>
      <c r="D23" s="87">
        <v>8499999</v>
      </c>
      <c r="E23" s="87" t="s">
        <v>53</v>
      </c>
      <c r="F23" s="80" t="str">
        <f>IF(AND($F$2&gt;=B23,$F$2&lt;=D23),(F2*0.9)-1100000,"")</f>
        <v/>
      </c>
      <c r="G23" s="74" t="s">
        <v>53</v>
      </c>
      <c r="H23" s="85" t="s">
        <v>79</v>
      </c>
    </row>
    <row r="24" spans="2:8" ht="30" customHeight="1" thickBot="1" x14ac:dyDescent="0.45">
      <c r="B24" s="88">
        <v>8500000</v>
      </c>
      <c r="C24" s="89" t="s">
        <v>69</v>
      </c>
      <c r="D24" s="90"/>
      <c r="E24" s="90"/>
      <c r="F24" s="91" t="str">
        <f>IF($F$2&gt;=B24,F2-1950000,"")</f>
        <v/>
      </c>
      <c r="G24" s="92" t="s">
        <v>53</v>
      </c>
      <c r="H24" s="93" t="s">
        <v>80</v>
      </c>
    </row>
  </sheetData>
  <sheetProtection selectLockedCells="1"/>
  <mergeCells count="16">
    <mergeCell ref="B11:G11"/>
    <mergeCell ref="B13:E13"/>
    <mergeCell ref="F13:G13"/>
    <mergeCell ref="B2:E2"/>
    <mergeCell ref="B3:E3"/>
    <mergeCell ref="B6:E6"/>
    <mergeCell ref="F6:G6"/>
    <mergeCell ref="H6:H10"/>
    <mergeCell ref="B7:E7"/>
    <mergeCell ref="F7:G7"/>
    <mergeCell ref="B8:E8"/>
    <mergeCell ref="F8:G8"/>
    <mergeCell ref="B9:E9"/>
    <mergeCell ref="F9:G9"/>
    <mergeCell ref="B10:E10"/>
    <mergeCell ref="F10:G10"/>
  </mergeCells>
  <phoneticPr fontId="4"/>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6:G6" xr:uid="{402801B6-743C-4C0C-9CC1-9D726573DA1A}">
      <formula1>"非該当,該当"</formula1>
    </dataValidation>
    <dataValidation type="list" allowBlank="1" showInputMessage="1" showErrorMessage="1" sqref="F7:G9" xr:uid="{3C602B52-9E96-43AB-811D-E68A26A99F55}">
      <formula1>"なし,あり"</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8D45-82BD-4F3D-ACB6-64A43942557B}">
  <sheetPr>
    <tabColor rgb="FF7030A0"/>
    <pageSetUpPr fitToPage="1"/>
  </sheetPr>
  <dimension ref="B1:N23"/>
  <sheetViews>
    <sheetView zoomScale="85" zoomScaleNormal="85" workbookViewId="0">
      <selection activeCell="K4" sqref="K4"/>
    </sheetView>
  </sheetViews>
  <sheetFormatPr defaultColWidth="9" defaultRowHeight="18.75" x14ac:dyDescent="0.4"/>
  <cols>
    <col min="1" max="1" width="9" style="125"/>
    <col min="2" max="2" width="16.375" style="125" bestFit="1" customWidth="1"/>
    <col min="3" max="3" width="3.75" style="125" bestFit="1" customWidth="1"/>
    <col min="4" max="4" width="14.875" style="125" bestFit="1" customWidth="1"/>
    <col min="5" max="5" width="3.75" style="125" bestFit="1" customWidth="1"/>
    <col min="6" max="6" width="25.625" style="125" customWidth="1"/>
    <col min="7" max="7" width="3.75" style="125" bestFit="1" customWidth="1"/>
    <col min="8" max="8" width="28.375" style="125" customWidth="1"/>
    <col min="9" max="9" width="26.875" style="125" customWidth="1"/>
    <col min="10" max="10" width="4" style="125" customWidth="1"/>
    <col min="11" max="11" width="27.375" style="125" customWidth="1"/>
    <col min="12" max="12" width="23.875" style="125" customWidth="1"/>
    <col min="13" max="13" width="4.25" style="125" bestFit="1" customWidth="1"/>
    <col min="14" max="14" width="28.375" style="125" customWidth="1"/>
    <col min="15" max="16384" width="9" style="125"/>
  </cols>
  <sheetData>
    <row r="1" spans="2:14" s="96" customFormat="1" ht="20.25" thickBot="1" x14ac:dyDescent="0.45"/>
    <row r="2" spans="2:14" s="96" customFormat="1" ht="30" customHeight="1" thickBot="1" x14ac:dyDescent="0.45">
      <c r="B2" s="188" t="s">
        <v>81</v>
      </c>
      <c r="C2" s="189"/>
      <c r="D2" s="189"/>
      <c r="E2" s="190"/>
      <c r="F2" s="75"/>
      <c r="G2" s="97" t="s">
        <v>53</v>
      </c>
      <c r="H2" s="96" t="s">
        <v>54</v>
      </c>
    </row>
    <row r="3" spans="2:14" s="96" customFormat="1" ht="30" customHeight="1" thickBot="1" x14ac:dyDescent="0.45">
      <c r="B3" s="188" t="s">
        <v>82</v>
      </c>
      <c r="C3" s="189"/>
      <c r="D3" s="189"/>
      <c r="E3" s="190"/>
      <c r="F3" s="75"/>
      <c r="G3" s="97" t="s">
        <v>83</v>
      </c>
    </row>
    <row r="4" spans="2:14" s="96" customFormat="1" ht="30" customHeight="1" thickBot="1" x14ac:dyDescent="0.5">
      <c r="B4" s="188" t="s">
        <v>84</v>
      </c>
      <c r="C4" s="189"/>
      <c r="D4" s="189"/>
      <c r="E4" s="190"/>
      <c r="F4" s="98" ph="1"/>
      <c r="G4" s="97" t="s">
        <v>53</v>
      </c>
    </row>
    <row r="5" spans="2:14" s="96" customFormat="1" ht="30" customHeight="1" thickBot="1" x14ac:dyDescent="0.45">
      <c r="B5" s="188" t="s">
        <v>85</v>
      </c>
      <c r="C5" s="189"/>
      <c r="D5" s="189"/>
      <c r="E5" s="190"/>
      <c r="F5" s="99">
        <f>SUM(F10:F14,I10:I14,L10:L14,F19:F23,I19:I23,L19:L23)</f>
        <v>0</v>
      </c>
      <c r="G5" s="97" t="s">
        <v>53</v>
      </c>
    </row>
    <row r="6" spans="2:14" s="96" customFormat="1" ht="13.5" customHeight="1" x14ac:dyDescent="0.4"/>
    <row r="7" spans="2:14" s="96" customFormat="1" ht="23.25" customHeight="1" thickBot="1" x14ac:dyDescent="0.45">
      <c r="B7" s="96" t="s">
        <v>86</v>
      </c>
    </row>
    <row r="8" spans="2:14" s="96" customFormat="1" ht="30" customHeight="1" x14ac:dyDescent="0.4">
      <c r="B8" s="191" t="s">
        <v>66</v>
      </c>
      <c r="C8" s="192"/>
      <c r="D8" s="192"/>
      <c r="E8" s="193"/>
      <c r="F8" s="197" t="s">
        <v>87</v>
      </c>
      <c r="G8" s="198"/>
      <c r="H8" s="199"/>
      <c r="I8" s="200" t="s">
        <v>88</v>
      </c>
      <c r="J8" s="201"/>
      <c r="K8" s="202"/>
      <c r="L8" s="200" t="s">
        <v>89</v>
      </c>
      <c r="M8" s="201"/>
      <c r="N8" s="202"/>
    </row>
    <row r="9" spans="2:14" s="96" customFormat="1" ht="30" customHeight="1" x14ac:dyDescent="0.4">
      <c r="B9" s="194"/>
      <c r="C9" s="195"/>
      <c r="D9" s="195"/>
      <c r="E9" s="196"/>
      <c r="F9" s="203" t="s">
        <v>90</v>
      </c>
      <c r="G9" s="204"/>
      <c r="H9" s="100" t="s">
        <v>68</v>
      </c>
      <c r="I9" s="205" t="s">
        <v>90</v>
      </c>
      <c r="J9" s="206"/>
      <c r="K9" s="101" t="s">
        <v>68</v>
      </c>
      <c r="L9" s="205" t="s">
        <v>90</v>
      </c>
      <c r="M9" s="206"/>
      <c r="N9" s="101" t="s">
        <v>68</v>
      </c>
    </row>
    <row r="10" spans="2:14" s="96" customFormat="1" ht="30" customHeight="1" x14ac:dyDescent="0.4">
      <c r="B10" s="102"/>
      <c r="C10" s="103" t="s">
        <v>69</v>
      </c>
      <c r="D10" s="104">
        <v>1299999</v>
      </c>
      <c r="E10" s="105" t="s">
        <v>53</v>
      </c>
      <c r="F10" s="106" t="str">
        <f>IF(F4="1000万円以下",IF(AND($F$3&lt;65,$F$3&gt;60,$F$2&lt;=$D$10,$F$2&gt;600000),$F$2-600000,IF(AND($F$3&lt;65,$F$3&gt;60,$F$2&lt;=600000),0,"")),"")</f>
        <v/>
      </c>
      <c r="G10" s="107" t="s">
        <v>53</v>
      </c>
      <c r="H10" s="108" t="s">
        <v>91</v>
      </c>
      <c r="I10" s="106" t="str">
        <f>IF(F4="1000～2000万円",IF(AND($F$3&lt;65,$F$3&gt;60,$F$2&lt;=$D$10,$F$2&gt;500000),$F$2-500000,IF(AND($F$3&lt;65,$F$3&gt;60,$F$2&lt;=500000),0,"")),"")</f>
        <v/>
      </c>
      <c r="J10" s="107" t="s">
        <v>53</v>
      </c>
      <c r="K10" s="108" t="s">
        <v>92</v>
      </c>
      <c r="L10" s="106" t="str">
        <f>IF(F4="2000万円以上",IF(AND($F$3&lt;65,$F$3&gt;60,$F$2&lt;=$D$10,$F$2&gt;400000),$F$2-400000,IF(AND($F$3&lt;65,$F$3&gt;60,$F$2&lt;=400000),0,"")),"")</f>
        <v/>
      </c>
      <c r="M10" s="107" t="s">
        <v>53</v>
      </c>
      <c r="N10" s="108" t="s">
        <v>93</v>
      </c>
    </row>
    <row r="11" spans="2:14" s="96" customFormat="1" ht="30" customHeight="1" x14ac:dyDescent="0.4">
      <c r="B11" s="106">
        <v>1300000</v>
      </c>
      <c r="C11" s="109" t="s">
        <v>69</v>
      </c>
      <c r="D11" s="110">
        <v>4099999</v>
      </c>
      <c r="E11" s="111" t="s">
        <v>53</v>
      </c>
      <c r="F11" s="102" t="str">
        <f>IF(F4="1000万円以下",IF(AND($F$3&lt;65,$F$3&gt;60,$F$2&lt;=$D$11,$F$2&gt;=$B$11),($F$2*0.75)-275000,""),"")</f>
        <v/>
      </c>
      <c r="G11" s="107" t="s">
        <v>53</v>
      </c>
      <c r="H11" s="108" t="s">
        <v>94</v>
      </c>
      <c r="I11" s="102" t="str">
        <f>IF(F4="1000～2000万円",IF(AND($F$3&lt;65,$F$3&gt;60,$F$2&lt;=$D$11,$F$2&gt;=$B$11),($F$2*0.75)-175000,""),"")</f>
        <v/>
      </c>
      <c r="J11" s="107" t="s">
        <v>53</v>
      </c>
      <c r="K11" s="108" t="s">
        <v>95</v>
      </c>
      <c r="L11" s="102" t="str">
        <f>IF(F4="2000万円以上",IF(AND($F$3&lt;65,$F$3&gt;60,$F$2&lt;=$D$11,$F$2&gt;=$B$11),($F$2*0.75)-75000,""),"")</f>
        <v/>
      </c>
      <c r="M11" s="107" t="s">
        <v>53</v>
      </c>
      <c r="N11" s="108" t="s">
        <v>96</v>
      </c>
    </row>
    <row r="12" spans="2:14" s="96" customFormat="1" ht="30" customHeight="1" x14ac:dyDescent="0.4">
      <c r="B12" s="102">
        <v>4100000</v>
      </c>
      <c r="C12" s="103" t="s">
        <v>69</v>
      </c>
      <c r="D12" s="104">
        <v>7699999</v>
      </c>
      <c r="E12" s="105" t="s">
        <v>53</v>
      </c>
      <c r="F12" s="102" t="str">
        <f>IF(F4="1000万円以下",IF(AND($F$3&lt;65,$F$3&gt;60,$F$2&lt;=$D$12,$F$2&gt;=$B$12),($F$2*0.85)-685000,""),"")</f>
        <v/>
      </c>
      <c r="G12" s="107" t="s">
        <v>53</v>
      </c>
      <c r="H12" s="108" t="s">
        <v>97</v>
      </c>
      <c r="I12" s="102" t="str">
        <f>IF(F4="1000～2000万円",IF(AND($F$3&lt;65,$F$3&gt;60,$F$2&lt;=$D$12,$F$2&gt;=$B$12),($F$2*0.85)-585000,""),"")</f>
        <v/>
      </c>
      <c r="J12" s="107" t="s">
        <v>53</v>
      </c>
      <c r="K12" s="108" t="s">
        <v>98</v>
      </c>
      <c r="L12" s="102" t="str">
        <f>IF(F4="2000万円以上",IF(AND($F$3&lt;65,$F$3&gt;60,$F$2&lt;=$D$12,$F$2&gt;=$B$12),($F$2*0.85)-485000,""),"")</f>
        <v/>
      </c>
      <c r="M12" s="107" t="s">
        <v>53</v>
      </c>
      <c r="N12" s="108" t="s">
        <v>99</v>
      </c>
    </row>
    <row r="13" spans="2:14" s="96" customFormat="1" ht="30" customHeight="1" x14ac:dyDescent="0.4">
      <c r="B13" s="106">
        <v>7700000</v>
      </c>
      <c r="C13" s="109" t="s">
        <v>69</v>
      </c>
      <c r="D13" s="110">
        <v>9999999</v>
      </c>
      <c r="E13" s="111" t="s">
        <v>53</v>
      </c>
      <c r="F13" s="112" t="str">
        <f>IF(F4="1000万円以下",IF(AND($F$3&lt;65,$F$3&gt;60,$F$2&gt;=$B$13,$F$2&lt;=$D$13),($F$2*0.95)-1455000,""),"")</f>
        <v/>
      </c>
      <c r="G13" s="113" t="s">
        <v>53</v>
      </c>
      <c r="H13" s="114" t="s">
        <v>100</v>
      </c>
      <c r="I13" s="112" t="str">
        <f>IF(F4="1000～2000万円",IF(AND($F$3&lt;65,$F$3&gt;60,$F$2&lt;=$D$13,$F$2&gt;=$B$13),($F$2*0.95)-1355000,""),"")</f>
        <v/>
      </c>
      <c r="J13" s="113" t="s">
        <v>53</v>
      </c>
      <c r="K13" s="114" t="s">
        <v>101</v>
      </c>
      <c r="L13" s="112" t="str">
        <f>IF(F4="2000万円以上",IF(AND($F$3&lt;65,$F$3&gt;60,$F$2&gt;=$B$13,$F$2&lt;=$D$13),($F$2*0.95)-1255000,""),"")</f>
        <v/>
      </c>
      <c r="M13" s="113" t="s">
        <v>53</v>
      </c>
      <c r="N13" s="114" t="s">
        <v>102</v>
      </c>
    </row>
    <row r="14" spans="2:14" s="96" customFormat="1" ht="30" customHeight="1" thickBot="1" x14ac:dyDescent="0.45">
      <c r="B14" s="115">
        <v>10000000</v>
      </c>
      <c r="C14" s="116" t="s">
        <v>69</v>
      </c>
      <c r="D14" s="117"/>
      <c r="E14" s="118"/>
      <c r="F14" s="115" t="str">
        <f>IF(F4="1000万円以下",IF(AND($F$3&lt;65,$F$3&gt;60,$F$2&gt;=$B$14),$F$2-1955000,""),"")</f>
        <v/>
      </c>
      <c r="G14" s="119" t="s">
        <v>53</v>
      </c>
      <c r="H14" s="120" t="s">
        <v>103</v>
      </c>
      <c r="I14" s="115" t="str">
        <f>IF(F4="1000～2000万円",IF(AND($F$3&lt;65,$F$2&gt;=$B$14),$F$2-1855000,""),"")</f>
        <v/>
      </c>
      <c r="J14" s="119" t="s">
        <v>53</v>
      </c>
      <c r="K14" s="120" t="s">
        <v>104</v>
      </c>
      <c r="L14" s="115" t="str">
        <f>IF(F4="2000万円以上",IF(AND($F$3&lt;65,$F$3&gt;60,$F$2&gt;=$B$14),$F$2-1755000,""),"")</f>
        <v/>
      </c>
      <c r="M14" s="119" t="s">
        <v>53</v>
      </c>
      <c r="N14" s="120" t="s">
        <v>105</v>
      </c>
    </row>
    <row r="15" spans="2:14" s="96" customFormat="1" ht="15" customHeight="1" x14ac:dyDescent="0.4"/>
    <row r="16" spans="2:14" s="96" customFormat="1" ht="21" customHeight="1" thickBot="1" x14ac:dyDescent="0.45">
      <c r="B16" s="96" t="s">
        <v>106</v>
      </c>
    </row>
    <row r="17" spans="2:14" s="96" customFormat="1" ht="30" customHeight="1" x14ac:dyDescent="0.4">
      <c r="B17" s="191" t="s">
        <v>66</v>
      </c>
      <c r="C17" s="192"/>
      <c r="D17" s="192"/>
      <c r="E17" s="193"/>
      <c r="F17" s="197" t="s">
        <v>87</v>
      </c>
      <c r="G17" s="198"/>
      <c r="H17" s="199"/>
      <c r="I17" s="200" t="s">
        <v>88</v>
      </c>
      <c r="J17" s="201"/>
      <c r="K17" s="202"/>
      <c r="L17" s="200" t="s">
        <v>89</v>
      </c>
      <c r="M17" s="201"/>
      <c r="N17" s="202"/>
    </row>
    <row r="18" spans="2:14" s="96" customFormat="1" ht="30" customHeight="1" x14ac:dyDescent="0.4">
      <c r="B18" s="194"/>
      <c r="C18" s="195"/>
      <c r="D18" s="195"/>
      <c r="E18" s="196"/>
      <c r="F18" s="203" t="s">
        <v>90</v>
      </c>
      <c r="G18" s="204"/>
      <c r="H18" s="100" t="s">
        <v>68</v>
      </c>
      <c r="I18" s="205" t="s">
        <v>90</v>
      </c>
      <c r="J18" s="206"/>
      <c r="K18" s="101" t="s">
        <v>68</v>
      </c>
      <c r="L18" s="205" t="s">
        <v>90</v>
      </c>
      <c r="M18" s="206"/>
      <c r="N18" s="101" t="s">
        <v>68</v>
      </c>
    </row>
    <row r="19" spans="2:14" s="96" customFormat="1" ht="30" customHeight="1" x14ac:dyDescent="0.4">
      <c r="B19" s="102"/>
      <c r="C19" s="103" t="s">
        <v>69</v>
      </c>
      <c r="D19" s="104">
        <v>3299999</v>
      </c>
      <c r="E19" s="105" t="s">
        <v>53</v>
      </c>
      <c r="F19" s="106" t="str">
        <f>IF(F4="1000万円以下",IF(AND($F$3&gt;=65,$F$2&lt;=$D$19,$F$2&gt;1100000),$F$2-1100000,IF(AND($F$3&gt;=65,$F$2&lt;=1100000),0,"")),"")</f>
        <v/>
      </c>
      <c r="G19" s="96" t="s">
        <v>53</v>
      </c>
      <c r="H19" s="108" t="s">
        <v>107</v>
      </c>
      <c r="I19" s="106" t="str">
        <f>IF(F4="1000～2000万円",IF(AND($F$3&gt;=65,$F$2&lt;=$D$19,$F$2&gt;1000000),$F$2-1000000,IF(AND($F$3&gt;=65,$F$2&lt;=1000000),0,"")),"")</f>
        <v/>
      </c>
      <c r="J19" s="96" t="s">
        <v>53</v>
      </c>
      <c r="K19" s="108" t="s">
        <v>108</v>
      </c>
      <c r="L19" s="106" t="str">
        <f>IF(F4="2000万円以上",IF(AND($F$3&gt;=65,$F$2&lt;=$D$19,$F$2&gt;900000),$F$2-900000,IF(AND($F$3&gt;=65,$F$2&lt;=900000),0,"")),"")</f>
        <v/>
      </c>
      <c r="M19" s="96" t="s">
        <v>53</v>
      </c>
      <c r="N19" s="108" t="s">
        <v>109</v>
      </c>
    </row>
    <row r="20" spans="2:14" s="96" customFormat="1" ht="30" customHeight="1" x14ac:dyDescent="0.4">
      <c r="B20" s="106">
        <v>3300000</v>
      </c>
      <c r="C20" s="109" t="s">
        <v>69</v>
      </c>
      <c r="D20" s="110">
        <v>4099999</v>
      </c>
      <c r="E20" s="111" t="s">
        <v>53</v>
      </c>
      <c r="F20" s="102" t="str">
        <f>IF(F4="1000万円以下",IF(AND($F$3&gt;=65,$F$2&lt;=$D$20,$F$2&gt;=$B$20),($F$2*0.75)-275000,""),"")</f>
        <v/>
      </c>
      <c r="G20" s="121" t="s">
        <v>53</v>
      </c>
      <c r="H20" s="108" t="s">
        <v>94</v>
      </c>
      <c r="I20" s="102" t="str">
        <f>IF(F4="1000～2000万円",IF(AND($F$3&gt;=65,$F$2&lt;=$D$20,$F$2&gt;=$B$20),($F$2*0.75)-175000,""),"")</f>
        <v/>
      </c>
      <c r="J20" s="121" t="s">
        <v>53</v>
      </c>
      <c r="K20" s="108" t="s">
        <v>95</v>
      </c>
      <c r="L20" s="102" t="str">
        <f>IF(F4="2000万円以上",IF(AND($F$3&gt;=65,$F$2&lt;=$D$20,$F$2&gt;=$B$20),($F$2*0.75)-75000,""),"")</f>
        <v/>
      </c>
      <c r="M20" s="121" t="s">
        <v>53</v>
      </c>
      <c r="N20" s="108" t="s">
        <v>96</v>
      </c>
    </row>
    <row r="21" spans="2:14" s="96" customFormat="1" ht="30" customHeight="1" x14ac:dyDescent="0.4">
      <c r="B21" s="102">
        <v>4100000</v>
      </c>
      <c r="C21" s="103" t="s">
        <v>69</v>
      </c>
      <c r="D21" s="104">
        <v>7699999</v>
      </c>
      <c r="E21" s="105" t="s">
        <v>53</v>
      </c>
      <c r="F21" s="106" t="str">
        <f>IF(F4="1000万円以下",IF(AND($F$3&gt;=65,$F$2&lt;=$D$21,$F$2&gt;=$B$21),($F$2*0.85)-685000,""),"")</f>
        <v/>
      </c>
      <c r="G21" s="96" t="s">
        <v>53</v>
      </c>
      <c r="H21" s="108" t="s">
        <v>97</v>
      </c>
      <c r="I21" s="106" t="str">
        <f>IF(F4="1000～2000万円",IF(AND($F$3&gt;=65,$F$2&lt;=$D$21,$F$2&gt;=$B$21),($F$2*0.85)-585000,""),"")</f>
        <v/>
      </c>
      <c r="J21" s="96" t="s">
        <v>53</v>
      </c>
      <c r="K21" s="108" t="s">
        <v>98</v>
      </c>
      <c r="L21" s="106" t="str">
        <f>IF(F4="2000万円以上",IF(AND($F$3&gt;=65,$F$2&lt;=$D$21,$F$2&gt;=$B$21),($F$2*0.85)-485000,""),"")</f>
        <v/>
      </c>
      <c r="M21" s="96" t="s">
        <v>53</v>
      </c>
      <c r="N21" s="108" t="s">
        <v>99</v>
      </c>
    </row>
    <row r="22" spans="2:14" s="96" customFormat="1" ht="30" customHeight="1" x14ac:dyDescent="0.4">
      <c r="B22" s="106">
        <v>7700000</v>
      </c>
      <c r="C22" s="109" t="s">
        <v>69</v>
      </c>
      <c r="D22" s="110">
        <v>9999999</v>
      </c>
      <c r="E22" s="111" t="s">
        <v>53</v>
      </c>
      <c r="F22" s="112" t="str">
        <f>IF(F4="1000万円以下",IF(AND($F$3&gt;=65,$F$2&gt;=$B$22,$F$2&lt;=$D$22),($F$2*0.95)-1455000,""),"")</f>
        <v/>
      </c>
      <c r="G22" s="122" t="s">
        <v>53</v>
      </c>
      <c r="H22" s="114" t="s">
        <v>100</v>
      </c>
      <c r="I22" s="112" t="str">
        <f>IF(F4="1000～2000万円",IF(AND($F$3&gt;=65,$F$2&gt;=$B$22,$F$2&lt;=$D$22),($F$2*0.95)-1355000,""),"")</f>
        <v/>
      </c>
      <c r="J22" s="122" t="s">
        <v>53</v>
      </c>
      <c r="K22" s="114" t="s">
        <v>101</v>
      </c>
      <c r="L22" s="112" t="str">
        <f>IF(F4="2000万円以上",IF(AND($F$3&gt;=65,$F$2&gt;=$B$22,$F$2&lt;=$D$22),($F$2*0.95)-1255000,""),"")</f>
        <v/>
      </c>
      <c r="M22" s="122" t="s">
        <v>53</v>
      </c>
      <c r="N22" s="114" t="s">
        <v>102</v>
      </c>
    </row>
    <row r="23" spans="2:14" ht="32.25" customHeight="1" thickBot="1" x14ac:dyDescent="0.45">
      <c r="B23" s="115">
        <v>10000000</v>
      </c>
      <c r="C23" s="116" t="s">
        <v>69</v>
      </c>
      <c r="D23" s="123"/>
      <c r="E23" s="124" t="s">
        <v>110</v>
      </c>
      <c r="F23" s="115" t="str">
        <f>IF(F4="1000万円以下",IF(AND($F$3&gt;=65,$F$2&gt;=$B$23,$F$2&lt;&gt;""),$F$2-1955000,""),"")</f>
        <v/>
      </c>
      <c r="G23" s="123" t="s">
        <v>110</v>
      </c>
      <c r="H23" s="120" t="s">
        <v>103</v>
      </c>
      <c r="I23" s="115" t="str">
        <f>IF(F4="1000～2000万円",IF(AND($F$3&gt;=65,$F$2&gt;=$B$23,$F$2&lt;&gt;""),$F$2-1855000,""),"")</f>
        <v/>
      </c>
      <c r="J23" s="123" t="s">
        <v>110</v>
      </c>
      <c r="K23" s="120" t="s">
        <v>104</v>
      </c>
      <c r="L23" s="115" t="str">
        <f>IF(F4="2000万円以上",IF(AND($F$3&gt;=65,$F$2&gt;=$B$23,$F$2&lt;&gt;""),$F$2-1755000,""),"")</f>
        <v/>
      </c>
      <c r="M23" s="123" t="s">
        <v>110</v>
      </c>
      <c r="N23" s="120" t="s">
        <v>105</v>
      </c>
    </row>
  </sheetData>
  <sheetProtection selectLockedCells="1"/>
  <mergeCells count="18">
    <mergeCell ref="I8:K8"/>
    <mergeCell ref="L8:N8"/>
    <mergeCell ref="F9:G9"/>
    <mergeCell ref="I9:J9"/>
    <mergeCell ref="L9:M9"/>
    <mergeCell ref="F8:H8"/>
    <mergeCell ref="B17:E18"/>
    <mergeCell ref="F17:H17"/>
    <mergeCell ref="I17:K17"/>
    <mergeCell ref="L17:N17"/>
    <mergeCell ref="F18:G18"/>
    <mergeCell ref="I18:J18"/>
    <mergeCell ref="L18:M18"/>
    <mergeCell ref="B2:E2"/>
    <mergeCell ref="B3:E3"/>
    <mergeCell ref="B4:E4"/>
    <mergeCell ref="B5:E5"/>
    <mergeCell ref="B8:E9"/>
  </mergeCells>
  <phoneticPr fontId="4"/>
  <dataValidations count="1">
    <dataValidation type="list" allowBlank="1" showInputMessage="1" showErrorMessage="1" sqref="F4" xr:uid="{1F3D1A96-C10F-4C43-A88C-E753BB516B2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E7C6-CB98-4E9D-A65B-DEAF0877637C}">
  <dimension ref="A2:U42"/>
  <sheetViews>
    <sheetView zoomScale="70" zoomScaleNormal="70" workbookViewId="0">
      <selection activeCell="R10" sqref="R10"/>
    </sheetView>
  </sheetViews>
  <sheetFormatPr defaultColWidth="9" defaultRowHeight="19.5" x14ac:dyDescent="0.4"/>
  <cols>
    <col min="1" max="1" width="13.625" style="128" bestFit="1" customWidth="1"/>
    <col min="2" max="2" width="16" style="128" customWidth="1"/>
    <col min="3" max="3" width="16.375" style="129" bestFit="1" customWidth="1"/>
    <col min="4" max="4" width="15" style="128" customWidth="1"/>
    <col min="5" max="7" width="13.125" style="128" customWidth="1"/>
    <col min="8" max="8" width="4.25" style="137" customWidth="1"/>
    <col min="9" max="9" width="21.75" style="128" customWidth="1"/>
    <col min="10" max="12" width="13" style="129" customWidth="1"/>
    <col min="13" max="13" width="11.25" style="129" customWidth="1"/>
    <col min="14" max="16384" width="9" style="129"/>
  </cols>
  <sheetData>
    <row r="2" spans="1:21" ht="30" customHeight="1" x14ac:dyDescent="0.4">
      <c r="A2" s="126"/>
      <c r="B2" s="127" t="s">
        <v>32</v>
      </c>
      <c r="C2" s="127" t="s">
        <v>111</v>
      </c>
      <c r="D2" s="127" t="s">
        <v>34</v>
      </c>
      <c r="F2" s="129"/>
      <c r="G2" s="129"/>
      <c r="H2" s="129"/>
      <c r="I2" s="129"/>
    </row>
    <row r="3" spans="1:21" ht="30" customHeight="1" x14ac:dyDescent="0.4">
      <c r="A3" s="130" t="s">
        <v>112</v>
      </c>
      <c r="B3" s="148">
        <v>8.72E-2</v>
      </c>
      <c r="C3" s="148">
        <v>2.9499999999999998E-2</v>
      </c>
      <c r="D3" s="148">
        <v>2.4299999999999999E-2</v>
      </c>
      <c r="F3" s="129"/>
      <c r="G3" s="129"/>
      <c r="H3" s="129"/>
      <c r="I3" s="131"/>
      <c r="K3" s="131"/>
      <c r="M3" s="131"/>
    </row>
    <row r="4" spans="1:21" ht="30" customHeight="1" x14ac:dyDescent="0.4">
      <c r="A4" s="130" t="s">
        <v>113</v>
      </c>
      <c r="B4" s="132">
        <v>28200</v>
      </c>
      <c r="C4" s="132">
        <v>9400</v>
      </c>
      <c r="D4" s="132">
        <v>16900</v>
      </c>
      <c r="F4" s="129"/>
      <c r="G4" s="129"/>
      <c r="H4" s="129"/>
      <c r="I4" s="131"/>
      <c r="K4" s="131"/>
      <c r="M4" s="131"/>
      <c r="Q4" s="211"/>
      <c r="R4" s="211"/>
      <c r="S4" s="211"/>
      <c r="T4" s="211"/>
      <c r="U4" s="211"/>
    </row>
    <row r="5" spans="1:21" ht="30" customHeight="1" x14ac:dyDescent="0.4">
      <c r="A5" s="130" t="s">
        <v>114</v>
      </c>
      <c r="B5" s="132">
        <v>21600</v>
      </c>
      <c r="C5" s="132">
        <v>7600</v>
      </c>
      <c r="D5" s="132">
        <v>0</v>
      </c>
      <c r="F5" s="129"/>
      <c r="G5" s="129"/>
      <c r="H5" s="129"/>
      <c r="I5" s="131"/>
      <c r="K5" s="131"/>
      <c r="M5" s="131"/>
      <c r="Q5" s="211"/>
      <c r="R5" s="211"/>
      <c r="S5" s="211"/>
      <c r="T5" s="211"/>
      <c r="U5" s="211"/>
    </row>
    <row r="6" spans="1:21" ht="30" customHeight="1" x14ac:dyDescent="0.4">
      <c r="A6" s="127" t="s">
        <v>43</v>
      </c>
      <c r="B6" s="133">
        <v>650000</v>
      </c>
      <c r="C6" s="133">
        <v>240000</v>
      </c>
      <c r="D6" s="133">
        <v>170000</v>
      </c>
      <c r="F6" s="129"/>
      <c r="G6" s="129"/>
      <c r="H6" s="129"/>
      <c r="I6" s="131"/>
      <c r="K6" s="131"/>
      <c r="M6" s="131"/>
    </row>
    <row r="7" spans="1:21" x14ac:dyDescent="0.4">
      <c r="A7" s="134"/>
      <c r="B7" s="135"/>
      <c r="C7" s="135"/>
      <c r="D7" s="135"/>
      <c r="F7" s="129"/>
      <c r="G7" s="129"/>
      <c r="H7" s="129"/>
      <c r="I7" s="131"/>
      <c r="K7" s="131"/>
      <c r="M7" s="131"/>
    </row>
    <row r="8" spans="1:21" ht="22.5" x14ac:dyDescent="0.4">
      <c r="A8" s="136" t="s">
        <v>115</v>
      </c>
    </row>
    <row r="9" spans="1:21" ht="22.5" x14ac:dyDescent="0.4">
      <c r="A9" s="138" t="s">
        <v>116</v>
      </c>
      <c r="B9" s="139"/>
      <c r="I9" s="140" t="s">
        <v>117</v>
      </c>
      <c r="J9" s="128"/>
      <c r="L9" s="128"/>
      <c r="M9" s="128"/>
    </row>
    <row r="10" spans="1:21" ht="36" customHeight="1" x14ac:dyDescent="0.4">
      <c r="A10" s="207" t="s">
        <v>118</v>
      </c>
      <c r="B10" s="207" t="s">
        <v>119</v>
      </c>
      <c r="C10" s="208" t="s">
        <v>120</v>
      </c>
      <c r="D10" s="207" t="s">
        <v>121</v>
      </c>
      <c r="E10" s="207"/>
      <c r="F10" s="207"/>
      <c r="G10" s="207"/>
      <c r="H10" s="131"/>
      <c r="I10" s="207" t="s">
        <v>122</v>
      </c>
      <c r="J10" s="207" t="s">
        <v>121</v>
      </c>
      <c r="K10" s="207"/>
      <c r="L10" s="207"/>
      <c r="M10" s="207"/>
    </row>
    <row r="11" spans="1:21" ht="36" customHeight="1" x14ac:dyDescent="0.4">
      <c r="A11" s="207"/>
      <c r="B11" s="207"/>
      <c r="C11" s="208"/>
      <c r="D11" s="141" t="s">
        <v>123</v>
      </c>
      <c r="E11" s="141" t="s">
        <v>124</v>
      </c>
      <c r="F11" s="142" t="s">
        <v>125</v>
      </c>
      <c r="G11" s="141" t="s">
        <v>126</v>
      </c>
      <c r="H11" s="131"/>
      <c r="I11" s="207"/>
      <c r="J11" s="141" t="s">
        <v>123</v>
      </c>
      <c r="K11" s="141" t="s">
        <v>124</v>
      </c>
      <c r="L11" s="142" t="s">
        <v>125</v>
      </c>
      <c r="M11" s="141" t="s">
        <v>126</v>
      </c>
    </row>
    <row r="12" spans="1:21" ht="37.5" customHeight="1" x14ac:dyDescent="0.4">
      <c r="A12" s="143">
        <v>0</v>
      </c>
      <c r="B12" s="143">
        <v>0</v>
      </c>
      <c r="C12" s="144">
        <v>0</v>
      </c>
      <c r="D12" s="143">
        <f t="shared" ref="D12:D31" si="0">IF(C12*$B$3&gt;=$B$6,$B$6,C12*$B$3)</f>
        <v>0</v>
      </c>
      <c r="E12" s="143">
        <f t="shared" ref="E12:E31" si="1">IF(C12*$C$3&gt;=$C$6,$C$6,C12*$C$3)</f>
        <v>0</v>
      </c>
      <c r="F12" s="143">
        <f t="shared" ref="F12:F31" si="2">IF(C12*$D$3&gt;=$D$6,$D$6,C12*$D$3)</f>
        <v>0</v>
      </c>
      <c r="G12" s="143">
        <f t="shared" ref="G12:G15" si="3">SUM(D12:F12)</f>
        <v>0</v>
      </c>
      <c r="I12" s="143">
        <v>1</v>
      </c>
      <c r="J12" s="143">
        <f>I12*$B$4</f>
        <v>28200</v>
      </c>
      <c r="K12" s="143">
        <f>I12*$C$4</f>
        <v>9400</v>
      </c>
      <c r="L12" s="143">
        <f>I12*$D$4</f>
        <v>16900</v>
      </c>
      <c r="M12" s="143">
        <f t="shared" ref="M12:M15" si="4">SUM(J12:L12)</f>
        <v>54500</v>
      </c>
    </row>
    <row r="13" spans="1:21" ht="37.5" customHeight="1" x14ac:dyDescent="0.4">
      <c r="A13" s="145">
        <v>500000</v>
      </c>
      <c r="B13" s="145">
        <v>0</v>
      </c>
      <c r="C13" s="146">
        <v>0</v>
      </c>
      <c r="D13" s="145">
        <f t="shared" si="0"/>
        <v>0</v>
      </c>
      <c r="E13" s="145">
        <f t="shared" si="1"/>
        <v>0</v>
      </c>
      <c r="F13" s="145">
        <f t="shared" si="2"/>
        <v>0</v>
      </c>
      <c r="G13" s="145">
        <f t="shared" si="3"/>
        <v>0</v>
      </c>
      <c r="I13" s="145">
        <v>2</v>
      </c>
      <c r="J13" s="145">
        <f t="shared" ref="J13:J15" si="5">I13*$B$4</f>
        <v>56400</v>
      </c>
      <c r="K13" s="145">
        <f t="shared" ref="K13:K15" si="6">I13*$C$4</f>
        <v>18800</v>
      </c>
      <c r="L13" s="145">
        <f t="shared" ref="L13:L15" si="7">I13*$D$4</f>
        <v>33800</v>
      </c>
      <c r="M13" s="145">
        <f t="shared" si="4"/>
        <v>109000</v>
      </c>
    </row>
    <row r="14" spans="1:21" ht="37.5" customHeight="1" x14ac:dyDescent="0.4">
      <c r="A14" s="143">
        <v>1000000</v>
      </c>
      <c r="B14" s="143">
        <v>450000</v>
      </c>
      <c r="C14" s="143">
        <f t="shared" ref="C14:C31" si="8">B14-430000</f>
        <v>20000</v>
      </c>
      <c r="D14" s="143">
        <f t="shared" si="0"/>
        <v>1744</v>
      </c>
      <c r="E14" s="143">
        <f t="shared" si="1"/>
        <v>590</v>
      </c>
      <c r="F14" s="143">
        <f t="shared" si="2"/>
        <v>486</v>
      </c>
      <c r="G14" s="143">
        <f t="shared" si="3"/>
        <v>2820</v>
      </c>
      <c r="I14" s="143">
        <v>3</v>
      </c>
      <c r="J14" s="143">
        <f t="shared" si="5"/>
        <v>84600</v>
      </c>
      <c r="K14" s="143">
        <f t="shared" si="6"/>
        <v>28200</v>
      </c>
      <c r="L14" s="143">
        <f t="shared" si="7"/>
        <v>50700</v>
      </c>
      <c r="M14" s="143">
        <f t="shared" si="4"/>
        <v>163500</v>
      </c>
    </row>
    <row r="15" spans="1:21" ht="37.5" customHeight="1" x14ac:dyDescent="0.4">
      <c r="A15" s="145">
        <v>1500000</v>
      </c>
      <c r="B15" s="145">
        <v>950000</v>
      </c>
      <c r="C15" s="145">
        <f t="shared" si="8"/>
        <v>520000</v>
      </c>
      <c r="D15" s="145">
        <f t="shared" si="0"/>
        <v>45344</v>
      </c>
      <c r="E15" s="145">
        <f t="shared" si="1"/>
        <v>15340</v>
      </c>
      <c r="F15" s="145">
        <f t="shared" si="2"/>
        <v>12636</v>
      </c>
      <c r="G15" s="145">
        <f t="shared" si="3"/>
        <v>73320</v>
      </c>
      <c r="I15" s="145">
        <v>4</v>
      </c>
      <c r="J15" s="145">
        <f t="shared" si="5"/>
        <v>112800</v>
      </c>
      <c r="K15" s="145">
        <f t="shared" si="6"/>
        <v>37600</v>
      </c>
      <c r="L15" s="145">
        <f t="shared" si="7"/>
        <v>67600</v>
      </c>
      <c r="M15" s="145">
        <f t="shared" si="4"/>
        <v>218000</v>
      </c>
    </row>
    <row r="16" spans="1:21" ht="37.5" customHeight="1" x14ac:dyDescent="0.4">
      <c r="A16" s="143">
        <v>2000000</v>
      </c>
      <c r="B16" s="143">
        <v>1320000</v>
      </c>
      <c r="C16" s="143">
        <f t="shared" si="8"/>
        <v>890000</v>
      </c>
      <c r="D16" s="143">
        <f t="shared" si="0"/>
        <v>77608</v>
      </c>
      <c r="E16" s="143">
        <f t="shared" si="1"/>
        <v>26255</v>
      </c>
      <c r="F16" s="143">
        <f t="shared" si="2"/>
        <v>21627</v>
      </c>
      <c r="G16" s="143">
        <f>SUM(D16:F16)</f>
        <v>125490</v>
      </c>
      <c r="I16" s="143" t="s">
        <v>127</v>
      </c>
      <c r="J16" s="143">
        <f>ROUNDDOWN(J12*0.3,-2)</f>
        <v>8400</v>
      </c>
      <c r="K16" s="143">
        <f>ROUNDDOWN(K12*0.3,-2)</f>
        <v>2800</v>
      </c>
      <c r="L16" s="143">
        <f>ROUNDDOWN(L12*0.3,-2)</f>
        <v>5000</v>
      </c>
      <c r="M16" s="143">
        <f>SUM(J16:L16)</f>
        <v>16200</v>
      </c>
    </row>
    <row r="17" spans="1:13" ht="37.5" customHeight="1" x14ac:dyDescent="0.4">
      <c r="A17" s="145">
        <v>2500000</v>
      </c>
      <c r="B17" s="145">
        <v>1670000</v>
      </c>
      <c r="C17" s="145">
        <f t="shared" si="8"/>
        <v>1240000</v>
      </c>
      <c r="D17" s="145">
        <f t="shared" si="0"/>
        <v>108128</v>
      </c>
      <c r="E17" s="145">
        <f t="shared" si="1"/>
        <v>36580</v>
      </c>
      <c r="F17" s="145">
        <f t="shared" si="2"/>
        <v>30132</v>
      </c>
      <c r="G17" s="145">
        <f t="shared" ref="G17:G31" si="9">SUM(D17:F17)</f>
        <v>174840</v>
      </c>
      <c r="I17" s="145" t="s">
        <v>128</v>
      </c>
      <c r="J17" s="145">
        <f>ROUNDDOWN(J12*0.5,-2)</f>
        <v>14100</v>
      </c>
      <c r="K17" s="145">
        <f t="shared" ref="K17:L17" si="10">ROUNDDOWN(K12*0.5,-2)</f>
        <v>4700</v>
      </c>
      <c r="L17" s="145">
        <f t="shared" si="10"/>
        <v>8400</v>
      </c>
      <c r="M17" s="145">
        <f t="shared" ref="M17:M18" si="11">SUM(J17:L17)</f>
        <v>27200</v>
      </c>
    </row>
    <row r="18" spans="1:13" ht="37.5" customHeight="1" x14ac:dyDescent="0.4">
      <c r="A18" s="143">
        <v>3000000</v>
      </c>
      <c r="B18" s="143">
        <v>2020000</v>
      </c>
      <c r="C18" s="143">
        <f t="shared" si="8"/>
        <v>1590000</v>
      </c>
      <c r="D18" s="143">
        <f t="shared" si="0"/>
        <v>138648</v>
      </c>
      <c r="E18" s="143">
        <f t="shared" si="1"/>
        <v>46905</v>
      </c>
      <c r="F18" s="143">
        <f t="shared" si="2"/>
        <v>38637</v>
      </c>
      <c r="G18" s="143">
        <f t="shared" si="9"/>
        <v>224190</v>
      </c>
      <c r="I18" s="143" t="s">
        <v>129</v>
      </c>
      <c r="J18" s="143">
        <f>ROUNDDOWN(J12*0.8,-2)</f>
        <v>22500</v>
      </c>
      <c r="K18" s="143">
        <f t="shared" ref="K18:L18" si="12">ROUNDDOWN(K12*0.8,-2)</f>
        <v>7500</v>
      </c>
      <c r="L18" s="143">
        <f t="shared" si="12"/>
        <v>13500</v>
      </c>
      <c r="M18" s="143">
        <f t="shared" si="11"/>
        <v>43500</v>
      </c>
    </row>
    <row r="19" spans="1:13" ht="37.5" customHeight="1" x14ac:dyDescent="0.4">
      <c r="A19" s="145">
        <v>3500000</v>
      </c>
      <c r="B19" s="145">
        <v>2370000</v>
      </c>
      <c r="C19" s="145">
        <f t="shared" si="8"/>
        <v>1940000</v>
      </c>
      <c r="D19" s="145">
        <f t="shared" si="0"/>
        <v>169168</v>
      </c>
      <c r="E19" s="145">
        <f t="shared" si="1"/>
        <v>57230</v>
      </c>
      <c r="F19" s="145">
        <f t="shared" si="2"/>
        <v>47142</v>
      </c>
      <c r="G19" s="145">
        <f t="shared" si="9"/>
        <v>273540</v>
      </c>
      <c r="I19" s="129"/>
    </row>
    <row r="20" spans="1:13" ht="37.5" customHeight="1" x14ac:dyDescent="0.4">
      <c r="A20" s="143">
        <v>4000000</v>
      </c>
      <c r="B20" s="143">
        <v>2760000</v>
      </c>
      <c r="C20" s="143">
        <f t="shared" si="8"/>
        <v>2330000</v>
      </c>
      <c r="D20" s="143">
        <f t="shared" si="0"/>
        <v>203176</v>
      </c>
      <c r="E20" s="143">
        <f t="shared" si="1"/>
        <v>68735</v>
      </c>
      <c r="F20" s="143">
        <f t="shared" si="2"/>
        <v>56619</v>
      </c>
      <c r="G20" s="143">
        <f t="shared" si="9"/>
        <v>328530</v>
      </c>
      <c r="I20" s="140" t="s">
        <v>130</v>
      </c>
    </row>
    <row r="21" spans="1:13" ht="37.5" customHeight="1" x14ac:dyDescent="0.4">
      <c r="A21" s="145">
        <v>4500000</v>
      </c>
      <c r="B21" s="145">
        <v>3160000</v>
      </c>
      <c r="C21" s="145">
        <f t="shared" si="8"/>
        <v>2730000</v>
      </c>
      <c r="D21" s="145">
        <f t="shared" si="0"/>
        <v>238056</v>
      </c>
      <c r="E21" s="145">
        <f t="shared" si="1"/>
        <v>80535</v>
      </c>
      <c r="F21" s="145">
        <f t="shared" si="2"/>
        <v>66339</v>
      </c>
      <c r="G21" s="145">
        <f t="shared" si="9"/>
        <v>384930</v>
      </c>
      <c r="I21" s="209"/>
      <c r="J21" s="207" t="s">
        <v>121</v>
      </c>
      <c r="K21" s="207"/>
      <c r="L21" s="207"/>
      <c r="M21" s="207"/>
    </row>
    <row r="22" spans="1:13" ht="37.5" customHeight="1" x14ac:dyDescent="0.4">
      <c r="A22" s="143">
        <v>5000000</v>
      </c>
      <c r="B22" s="143">
        <v>3560000</v>
      </c>
      <c r="C22" s="143">
        <f t="shared" si="8"/>
        <v>3130000</v>
      </c>
      <c r="D22" s="143">
        <f t="shared" si="0"/>
        <v>272936</v>
      </c>
      <c r="E22" s="143">
        <f t="shared" si="1"/>
        <v>92335</v>
      </c>
      <c r="F22" s="143">
        <f t="shared" si="2"/>
        <v>76059</v>
      </c>
      <c r="G22" s="143">
        <f t="shared" si="9"/>
        <v>441330</v>
      </c>
      <c r="I22" s="210"/>
      <c r="J22" s="141" t="s">
        <v>123</v>
      </c>
      <c r="K22" s="141" t="s">
        <v>124</v>
      </c>
      <c r="L22" s="142" t="s">
        <v>125</v>
      </c>
      <c r="M22" s="141" t="s">
        <v>126</v>
      </c>
    </row>
    <row r="23" spans="1:13" ht="37.5" customHeight="1" x14ac:dyDescent="0.4">
      <c r="A23" s="145">
        <v>5500000</v>
      </c>
      <c r="B23" s="145">
        <v>3960000</v>
      </c>
      <c r="C23" s="145">
        <f t="shared" si="8"/>
        <v>3530000</v>
      </c>
      <c r="D23" s="145">
        <f t="shared" si="0"/>
        <v>307816</v>
      </c>
      <c r="E23" s="145">
        <f t="shared" si="1"/>
        <v>104135</v>
      </c>
      <c r="F23" s="145">
        <f t="shared" si="2"/>
        <v>85779</v>
      </c>
      <c r="G23" s="145">
        <f t="shared" si="9"/>
        <v>497730</v>
      </c>
      <c r="I23" s="143" t="s">
        <v>131</v>
      </c>
      <c r="J23" s="143">
        <f>B5</f>
        <v>21600</v>
      </c>
      <c r="K23" s="143">
        <f>C5</f>
        <v>7600</v>
      </c>
      <c r="L23" s="143">
        <f>D5</f>
        <v>0</v>
      </c>
      <c r="M23" s="143">
        <f t="shared" ref="M23:M26" si="13">SUM(J23:L23)</f>
        <v>29200</v>
      </c>
    </row>
    <row r="24" spans="1:13" ht="37.5" customHeight="1" x14ac:dyDescent="0.4">
      <c r="A24" s="143">
        <v>6000000</v>
      </c>
      <c r="B24" s="143">
        <v>4360000</v>
      </c>
      <c r="C24" s="143">
        <f t="shared" si="8"/>
        <v>3930000</v>
      </c>
      <c r="D24" s="143">
        <f t="shared" si="0"/>
        <v>342696</v>
      </c>
      <c r="E24" s="143">
        <f t="shared" si="1"/>
        <v>115935</v>
      </c>
      <c r="F24" s="143">
        <f t="shared" si="2"/>
        <v>95499</v>
      </c>
      <c r="G24" s="143">
        <f t="shared" si="9"/>
        <v>554130</v>
      </c>
      <c r="I24" s="145" t="s">
        <v>127</v>
      </c>
      <c r="J24" s="145">
        <f>ROUNDDOWN(J23*0.3,-2)</f>
        <v>6400</v>
      </c>
      <c r="K24" s="145">
        <f t="shared" ref="K24:L24" si="14">ROUNDDOWN(K23*0.3,-2)</f>
        <v>2200</v>
      </c>
      <c r="L24" s="145">
        <f t="shared" si="14"/>
        <v>0</v>
      </c>
      <c r="M24" s="145">
        <f t="shared" si="13"/>
        <v>8600</v>
      </c>
    </row>
    <row r="25" spans="1:13" ht="37.5" customHeight="1" x14ac:dyDescent="0.4">
      <c r="A25" s="145">
        <v>6500000</v>
      </c>
      <c r="B25" s="145">
        <v>4760000</v>
      </c>
      <c r="C25" s="145">
        <f t="shared" si="8"/>
        <v>4330000</v>
      </c>
      <c r="D25" s="145">
        <f t="shared" si="0"/>
        <v>377576</v>
      </c>
      <c r="E25" s="145">
        <f t="shared" si="1"/>
        <v>127735</v>
      </c>
      <c r="F25" s="145">
        <f t="shared" si="2"/>
        <v>105219</v>
      </c>
      <c r="G25" s="145">
        <f t="shared" si="9"/>
        <v>610530</v>
      </c>
      <c r="I25" s="145" t="s">
        <v>128</v>
      </c>
      <c r="J25" s="145">
        <f>ROUNDDOWN(J23*0.5,-2)</f>
        <v>10800</v>
      </c>
      <c r="K25" s="145">
        <f t="shared" ref="K25:L25" si="15">ROUNDDOWN(K23*0.5,-2)</f>
        <v>3800</v>
      </c>
      <c r="L25" s="145">
        <f t="shared" si="15"/>
        <v>0</v>
      </c>
      <c r="M25" s="145">
        <f t="shared" si="13"/>
        <v>14600</v>
      </c>
    </row>
    <row r="26" spans="1:13" ht="37.5" customHeight="1" x14ac:dyDescent="0.4">
      <c r="A26" s="143">
        <v>7000000</v>
      </c>
      <c r="B26" s="143">
        <v>5200000</v>
      </c>
      <c r="C26" s="143">
        <f t="shared" si="8"/>
        <v>4770000</v>
      </c>
      <c r="D26" s="143">
        <f t="shared" si="0"/>
        <v>415944</v>
      </c>
      <c r="E26" s="143">
        <f t="shared" si="1"/>
        <v>140715</v>
      </c>
      <c r="F26" s="143">
        <f t="shared" si="2"/>
        <v>115911</v>
      </c>
      <c r="G26" s="143">
        <f t="shared" si="9"/>
        <v>672570</v>
      </c>
      <c r="I26" s="145" t="s">
        <v>129</v>
      </c>
      <c r="J26" s="145">
        <f>ROUNDDOWN(J23*0.8,-2)</f>
        <v>17200</v>
      </c>
      <c r="K26" s="145">
        <f t="shared" ref="K26:L26" si="16">ROUNDDOWN(K23*0.8,-2)</f>
        <v>6000</v>
      </c>
      <c r="L26" s="145">
        <f t="shared" si="16"/>
        <v>0</v>
      </c>
      <c r="M26" s="145">
        <f t="shared" si="13"/>
        <v>23200</v>
      </c>
    </row>
    <row r="27" spans="1:13" ht="37.5" customHeight="1" x14ac:dyDescent="0.4">
      <c r="A27" s="145">
        <v>7500000</v>
      </c>
      <c r="B27" s="145">
        <v>5650000</v>
      </c>
      <c r="C27" s="145">
        <f t="shared" si="8"/>
        <v>5220000</v>
      </c>
      <c r="D27" s="145">
        <f t="shared" si="0"/>
        <v>455184</v>
      </c>
      <c r="E27" s="145">
        <f t="shared" si="1"/>
        <v>153990</v>
      </c>
      <c r="F27" s="145">
        <f t="shared" si="2"/>
        <v>126846</v>
      </c>
      <c r="G27" s="145">
        <f t="shared" si="9"/>
        <v>736020</v>
      </c>
      <c r="I27" s="129"/>
    </row>
    <row r="28" spans="1:13" ht="37.5" customHeight="1" x14ac:dyDescent="0.4">
      <c r="A28" s="143">
        <v>8000000</v>
      </c>
      <c r="B28" s="143">
        <v>6100000</v>
      </c>
      <c r="C28" s="143">
        <f t="shared" si="8"/>
        <v>5670000</v>
      </c>
      <c r="D28" s="143">
        <f t="shared" si="0"/>
        <v>494424</v>
      </c>
      <c r="E28" s="143">
        <f t="shared" si="1"/>
        <v>167265</v>
      </c>
      <c r="F28" s="143">
        <f t="shared" si="2"/>
        <v>137781</v>
      </c>
      <c r="G28" s="143">
        <f t="shared" si="9"/>
        <v>799470</v>
      </c>
      <c r="I28" s="129"/>
    </row>
    <row r="29" spans="1:13" ht="37.5" customHeight="1" x14ac:dyDescent="0.4">
      <c r="A29" s="145">
        <v>8500000</v>
      </c>
      <c r="B29" s="145">
        <v>6550000</v>
      </c>
      <c r="C29" s="145">
        <f t="shared" si="8"/>
        <v>6120000</v>
      </c>
      <c r="D29" s="145">
        <f t="shared" si="0"/>
        <v>533664</v>
      </c>
      <c r="E29" s="145">
        <f t="shared" si="1"/>
        <v>180540</v>
      </c>
      <c r="F29" s="145">
        <f t="shared" si="2"/>
        <v>148716</v>
      </c>
      <c r="G29" s="145">
        <f t="shared" si="9"/>
        <v>862920</v>
      </c>
      <c r="I29" s="129"/>
    </row>
    <row r="30" spans="1:13" ht="37.5" customHeight="1" x14ac:dyDescent="0.4">
      <c r="A30" s="143">
        <v>9000000</v>
      </c>
      <c r="B30" s="143">
        <v>7050000</v>
      </c>
      <c r="C30" s="143">
        <f t="shared" si="8"/>
        <v>6620000</v>
      </c>
      <c r="D30" s="143">
        <f t="shared" si="0"/>
        <v>577264</v>
      </c>
      <c r="E30" s="143">
        <f t="shared" si="1"/>
        <v>195290</v>
      </c>
      <c r="F30" s="143">
        <f t="shared" si="2"/>
        <v>160866</v>
      </c>
      <c r="G30" s="143">
        <f t="shared" si="9"/>
        <v>933420</v>
      </c>
      <c r="I30" s="129"/>
    </row>
    <row r="31" spans="1:13" ht="37.5" customHeight="1" x14ac:dyDescent="0.4">
      <c r="A31" s="145">
        <v>9500000</v>
      </c>
      <c r="B31" s="145">
        <v>7550000</v>
      </c>
      <c r="C31" s="145">
        <f t="shared" si="8"/>
        <v>7120000</v>
      </c>
      <c r="D31" s="145">
        <f t="shared" si="0"/>
        <v>620864</v>
      </c>
      <c r="E31" s="145">
        <f t="shared" si="1"/>
        <v>210040</v>
      </c>
      <c r="F31" s="145">
        <f t="shared" si="2"/>
        <v>170000</v>
      </c>
      <c r="G31" s="145">
        <f t="shared" si="9"/>
        <v>1000904</v>
      </c>
      <c r="I31" s="129"/>
    </row>
    <row r="32" spans="1:13" x14ac:dyDescent="0.4">
      <c r="I32" s="129"/>
    </row>
    <row r="33" spans="1:9" x14ac:dyDescent="0.4">
      <c r="A33" s="129"/>
      <c r="B33" s="129"/>
      <c r="D33" s="129"/>
      <c r="E33" s="129"/>
      <c r="I33" s="129"/>
    </row>
    <row r="34" spans="1:9" x14ac:dyDescent="0.4">
      <c r="A34" s="129"/>
      <c r="B34" s="129"/>
      <c r="D34" s="129"/>
      <c r="E34" s="129"/>
      <c r="I34" s="129"/>
    </row>
    <row r="35" spans="1:9" x14ac:dyDescent="0.4">
      <c r="A35" s="129"/>
      <c r="B35" s="129"/>
      <c r="D35" s="129"/>
      <c r="E35" s="129"/>
      <c r="I35" s="129"/>
    </row>
    <row r="36" spans="1:9" ht="37.5" customHeight="1" x14ac:dyDescent="0.4">
      <c r="A36" s="129"/>
      <c r="B36" s="129"/>
      <c r="D36" s="129"/>
      <c r="E36" s="129"/>
      <c r="I36" s="129"/>
    </row>
    <row r="37" spans="1:9" ht="37.5" customHeight="1" x14ac:dyDescent="0.4">
      <c r="A37" s="129"/>
      <c r="B37" s="129"/>
      <c r="D37" s="129"/>
      <c r="E37" s="129"/>
      <c r="I37" s="129"/>
    </row>
    <row r="38" spans="1:9" ht="37.5" customHeight="1" x14ac:dyDescent="0.4">
      <c r="A38" s="129"/>
      <c r="B38" s="129"/>
      <c r="D38" s="129"/>
      <c r="E38" s="129"/>
      <c r="I38" s="129"/>
    </row>
    <row r="39" spans="1:9" ht="37.5" customHeight="1" x14ac:dyDescent="0.4">
      <c r="A39" s="129"/>
      <c r="B39" s="129"/>
      <c r="D39" s="129"/>
      <c r="E39" s="129"/>
    </row>
    <row r="40" spans="1:9" ht="37.5" customHeight="1" x14ac:dyDescent="0.4">
      <c r="A40" s="129"/>
      <c r="B40" s="129"/>
      <c r="D40" s="129"/>
      <c r="E40" s="129"/>
    </row>
    <row r="41" spans="1:9" ht="37.5" customHeight="1" x14ac:dyDescent="0.4">
      <c r="A41" s="129"/>
      <c r="B41" s="129"/>
      <c r="D41" s="129"/>
      <c r="E41" s="129"/>
    </row>
    <row r="42" spans="1:9" ht="37.5" customHeight="1" x14ac:dyDescent="0.4">
      <c r="A42" s="129"/>
      <c r="B42" s="129"/>
      <c r="D42" s="129"/>
      <c r="E42" s="129"/>
    </row>
  </sheetData>
  <mergeCells count="12">
    <mergeCell ref="I21:I22"/>
    <mergeCell ref="J21:M21"/>
    <mergeCell ref="Q4:R4"/>
    <mergeCell ref="S4:U4"/>
    <mergeCell ref="Q5:R5"/>
    <mergeCell ref="S5:U5"/>
    <mergeCell ref="J10:M10"/>
    <mergeCell ref="A10:A11"/>
    <mergeCell ref="B10:B11"/>
    <mergeCell ref="C10:C11"/>
    <mergeCell ref="D10:G10"/>
    <mergeCell ref="I10:I11"/>
  </mergeCells>
  <phoneticPr fontId="4"/>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令和７年度</vt:lpstr>
      <vt:lpstr>給与収入</vt:lpstr>
      <vt:lpstr>年金収入</vt:lpstr>
      <vt:lpstr>早読表</vt:lpstr>
      <vt:lpstr>給与収入!Print_Area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T024</dc:creator>
  <cp:lastModifiedBy>Administrator</cp:lastModifiedBy>
  <dcterms:created xsi:type="dcterms:W3CDTF">2024-06-07T05:58:39Z</dcterms:created>
  <dcterms:modified xsi:type="dcterms:W3CDTF">2024-10-02T23:53:11Z</dcterms:modified>
</cp:coreProperties>
</file>